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eta-Data" sheetId="1" r:id="rId1"/>
    <sheet name="Schedule" sheetId="2" r:id="rId2"/>
    <sheet name="Links to this Spreadhseet's Web" sheetId="3" r:id="rId3"/>
  </sheets>
  <definedNames>
    <definedName name="a128A195">NA()</definedName>
    <definedName name="A1360r1360">NA()</definedName>
    <definedName name="a1406A1348">'Schedule'!#REF!</definedName>
    <definedName name="A1566r1568">'Schedule'!#REF!</definedName>
    <definedName name="a17A86">'Schedule'!#REF!</definedName>
    <definedName name="A2069b1927">'Schedule'!$A$423</definedName>
    <definedName name="A617q621">'Schedule'!#REF!</definedName>
    <definedName name="A708qE709">'Schedule'!#REF!</definedName>
    <definedName name="A754q757">'Schedule'!$A$297</definedName>
    <definedName name="A808qE808">NA()</definedName>
    <definedName name="A814q814">NA()</definedName>
    <definedName name="A894Q895">NA()</definedName>
    <definedName name="ADAS">'Meta-Data'!#REF!</definedName>
    <definedName name="AltCarExpoSanMon">'Meta-Data'!#REF!</definedName>
    <definedName name="b0N1622">'Schedule'!#REF!</definedName>
    <definedName name="b1322G1404">NA()</definedName>
    <definedName name="b1545B987">'Schedule'!#REF!</definedName>
    <definedName name="b2264B493">NA()</definedName>
    <definedName name="b987B1038">NA()</definedName>
    <definedName name="d34i8D409">NA()</definedName>
    <definedName name="n1768E1932">'Schedule'!$E$400</definedName>
    <definedName name="q">NA()</definedName>
    <definedName name="v">'Schedule'!#REF!</definedName>
    <definedName name="WTC">NA()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" authorId="0">
      <text>
        <r>
          <rPr>
            <sz val="11"/>
            <color indexed="8"/>
            <rFont val="Calibri"/>
            <family val="2"/>
          </rPr>
          <t>Or moved from 
another Date/Venue</t>
        </r>
      </text>
    </comment>
    <comment ref="C5" authorId="0">
      <text>
        <r>
          <rPr>
            <sz val="11"/>
            <color indexed="8"/>
            <rFont val="Calibri"/>
            <family val="2"/>
          </rPr>
          <t>. . . from old version of same event.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Q2" authorId="0">
      <text>
        <r>
          <rPr>
            <sz val="11"/>
            <color indexed="8"/>
            <rFont val="Calibri"/>
            <family val="2"/>
          </rPr>
          <t xml:space="preserve">“not-appr” means not germain to EV
</t>
        </r>
      </text>
    </comment>
  </commentList>
</comments>
</file>

<file path=xl/sharedStrings.xml><?xml version="1.0" encoding="utf-8"?>
<sst xmlns="http://schemas.openxmlformats.org/spreadsheetml/2006/main" count="2525" uniqueCount="1346">
  <si>
    <t>Updated</t>
  </si>
  <si>
    <t>In the Past</t>
  </si>
  <si>
    <t>Light Gray 5</t>
  </si>
  <si>
    <t>Not in pages</t>
  </si>
  <si>
    <t>Light Gray 3</t>
  </si>
  <si>
    <t>Pending</t>
  </si>
  <si>
    <t>Light Yellow 3</t>
  </si>
  <si>
    <t>© 2016-2021</t>
  </si>
  <si>
    <t>Copied</t>
  </si>
  <si>
    <t>Light Yellow 2</t>
  </si>
  <si>
    <t>Joshua Zev Levin, Ph.D.</t>
  </si>
  <si>
    <t>Done</t>
  </si>
  <si>
    <t>255, 255, 56</t>
  </si>
  <si>
    <t>FFFF38</t>
  </si>
  <si>
    <t>Light Yellow 1</t>
  </si>
  <si>
    <t>Both (old)</t>
  </si>
  <si>
    <t>255, 233, 148</t>
  </si>
  <si>
    <t>FF2000</t>
  </si>
  <si>
    <t>Light Gold 2</t>
  </si>
  <si>
    <t>Fraud</t>
  </si>
  <si>
    <t>custom</t>
  </si>
  <si>
    <t>Future</t>
  </si>
  <si>
    <t>71, 255, 71</t>
  </si>
  <si>
    <t>47FF47</t>
  </si>
  <si>
    <t>'</t>
  </si>
  <si>
    <t>```</t>
  </si>
  <si>
    <t>Contact</t>
  </si>
  <si>
    <t>Call for papers / Exhibitors' Information / Colocated Events</t>
  </si>
  <si>
    <t>earliest due date</t>
  </si>
  <si>
    <t>Source</t>
  </si>
  <si>
    <t>On LeviCar .com?</t>
  </si>
  <si>
    <t>Name</t>
  </si>
  <si>
    <t>Frag Tag</t>
  </si>
  <si>
    <t>Main page URL</t>
  </si>
  <si>
    <t>Location</t>
  </si>
  <si>
    <r>
      <rPr>
        <b/>
        <sz val="11"/>
        <color indexed="8"/>
        <rFont val="Calibri"/>
        <family val="2"/>
      </rPr>
      <t>Date</t>
    </r>
    <r>
      <rPr>
        <sz val="11"/>
        <color indexed="8"/>
        <rFont val="Calibri"/>
        <family val="2"/>
      </rPr>
      <t>(s)</t>
    </r>
  </si>
  <si>
    <t>Graphic</t>
  </si>
  <si>
    <t>Catch Phrase</t>
  </si>
  <si>
    <r>
      <rPr>
        <b/>
        <sz val="11"/>
        <color indexed="8"/>
        <rFont val="Calibri"/>
        <family val="2"/>
      </rPr>
      <t>Webinar People</t>
    </r>
    <r>
      <rPr>
        <sz val="11"/>
        <color indexed="8"/>
        <rFont val="Calibri"/>
        <family val="2"/>
      </rPr>
      <t xml:space="preserve"> or </t>
    </r>
    <r>
      <rPr>
        <b/>
        <sz val="11"/>
        <color indexed="8"/>
        <rFont val="Calibri"/>
        <family val="2"/>
      </rPr>
      <t>Instructor</t>
    </r>
  </si>
  <si>
    <t>phone</t>
  </si>
  <si>
    <t>Email / Contacts Page</t>
  </si>
  <si>
    <t>Instructions URL</t>
  </si>
  <si>
    <t>Submission URL / email</t>
  </si>
  <si>
    <t>From</t>
  </si>
  <si>
    <t>URL</t>
  </si>
  <si>
    <t>Type</t>
  </si>
  <si>
    <t>CES 2021 (formerly Consumer Electronics Show)</t>
  </si>
  <si>
    <t>CES-2021</t>
  </si>
  <si>
    <t>Live Online</t>
  </si>
  <si>
    <t>2021/01/11 – 14</t>
  </si>
  <si>
    <t>CES-Logo-small.png      165 x 96</t>
  </si>
  <si>
    <t>SAE</t>
  </si>
  <si>
    <t>https://www.sae.org/attend/</t>
  </si>
  <si>
    <t>Public / Prof.</t>
  </si>
  <si>
    <t>Yes</t>
  </si>
  <si>
    <t>Connect2Car@CES</t>
  </si>
  <si>
    <t>Connect2Car</t>
  </si>
  <si>
    <t>2021/01/14</t>
  </si>
  <si>
    <t>SAE-CES-2021.png     320 x 151</t>
  </si>
  <si>
    <t>&amp;hellip; the longest continually running session at CES.&amp;nbsp; &amp;hellip; explore what is next in connected mobility.</t>
  </si>
  <si>
    <t>Li-Ion-Charging</t>
  </si>
  <si>
    <t>2021/01/12   (13:00 – 14:00 EST)</t>
  </si>
  <si>
    <t>Johnson-Struble.png   168 x 120</t>
  </si>
  <si>
    <t>Avnet</t>
  </si>
  <si>
    <t>Prof.</t>
  </si>
  <si>
    <t>No</t>
  </si>
  <si>
    <t>AVG Complimentary Webinar:&amp;nbsp; EV Fleets 101:&amp;nbsp; Building Your EV Infrastructure Plan</t>
  </si>
  <si>
    <t>Building-Infrastructure</t>
  </si>
  <si>
    <t>2021/01/12  10:00 – 11:00 PST (13:00 – 14:00 EST)</t>
  </si>
  <si>
    <t>Patadia-Couch.png  182 x 120</t>
  </si>
  <si>
    <t>ACTnews Webinars</t>
  </si>
  <si>
    <t>https://www.act-news.com/webinars/</t>
  </si>
  <si>
    <t>Safe-and-Reliable</t>
  </si>
  <si>
    <t>2021/01/13  11:00 EST (8:00 PST)</t>
  </si>
  <si>
    <t>Steve-Hopwood.png   88 x 120</t>
  </si>
  <si>
    <t>CHARGED Electric Vehicles Magazine</t>
  </si>
  <si>
    <t>https://chargedevs.com/newswire/</t>
  </si>
  <si>
    <t>Webinar:  Next-Level Planning &amp;ndash; Using Machine Learning To Improve EV Charging Network Buildout</t>
  </si>
  <si>
    <t>Buildout</t>
  </si>
  <si>
    <t>2021/01/13 10:00 – 11:00 EST</t>
  </si>
  <si>
    <t>Praveen-Mandal.png   84 x 120</t>
  </si>
  <si>
    <t xml:space="preserve">&lt;b&gt;Praveen&amp;nbsp;K.&amp;nbsp;Mandal&lt;/b&gt;, Chief Techn. Ofc., Volta Charging </t>
  </si>
  <si>
    <t>Fee:  $99</t>
  </si>
  <si>
    <t>PlugVolt</t>
  </si>
  <si>
    <t>https://plugvolt.com/webinars/</t>
  </si>
  <si>
    <t>Transportation Camp Unconference</t>
  </si>
  <si>
    <t>T-Camp-DC</t>
  </si>
  <si>
    <t>Virtual Cyberspace</t>
  </si>
  <si>
    <t>2021/01/16</t>
  </si>
  <si>
    <t>Transp-Camp.png      626 x 203</t>
  </si>
  <si>
    <t>&amp;hellip; changemakers fighting to make transportation safe, affordable, equitable, and sustainable &amp;hellip;</t>
  </si>
  <si>
    <t>YES</t>
  </si>
  <si>
    <t>aabc-E</t>
  </si>
  <si>
    <t>&lt;strike&gt;Wiesbaden, Germany&lt;/strike&gt; Virtual&amp;nbsp;Cyberspace</t>
  </si>
  <si>
    <t>2021/01/19 – 21 (was starting 10/17)</t>
  </si>
  <si>
    <t>Shaping the Future of Vehicle Electrification</t>
  </si>
  <si>
    <t>Series page:</t>
  </si>
  <si>
    <t>http://www.advancedautobat.com/</t>
  </si>
  <si>
    <t>Cambridge EnerTech</t>
  </si>
  <si>
    <t>cunningham@cambridgeinnovationinstitute.com</t>
  </si>
  <si>
    <t>2020/12/18 (was 12/11) for priority consid.</t>
  </si>
  <si>
    <t>2020/01/06 for late consideration</t>
  </si>
  <si>
    <t>NJ-EV-Law</t>
  </si>
  <si>
    <t>2021/01/19  12:00 – 13:00 EST</t>
  </si>
  <si>
    <t>Env-NJ-R+Pcen.png   151 x 100</t>
  </si>
  <si>
    <t>Symposium on International Automotive Technology 2021</t>
  </si>
  <si>
    <t>SIAT</t>
  </si>
  <si>
    <t>Pune, India</t>
  </si>
  <si>
    <t>2021/01/20 – 22</t>
  </si>
  <si>
    <t>SIAT-trim.png    138 x 134</t>
  </si>
  <si>
    <t>Redfining Mobility for the Future</t>
  </si>
  <si>
    <t>Postponed</t>
  </si>
  <si>
    <t>Transportation Research Board Annual Meeting</t>
  </si>
  <si>
    <t>TRB-AM</t>
  </si>
  <si>
    <t>&lt;strike&gt;Washington, DC&lt;/strike&gt; Virtual&amp;nbsp;Cyberspace</t>
  </si>
  <si>
    <t>2021/01/21 – 29 weekdays only  (was 24–28)</t>
  </si>
  <si>
    <t>TRB-Meeting-2021.png       146 x 103</t>
  </si>
  <si>
    <t>&amp;hellip; will cover all transportation modes &amp;hellip;</t>
  </si>
  <si>
    <t>Transportation Research Board (TRB)</t>
  </si>
  <si>
    <t>Transportation Research Record: Journal of the Transportation Research Board:  https://journals.sagepub.com/home/trr</t>
  </si>
  <si>
    <t>mailto:trr@nas.edu</t>
  </si>
  <si>
    <t>Submission Requirements:  http://onlinepubs.trb.org/onlinepubs/TRREM/QGsubreq.pdf"</t>
  </si>
  <si>
    <t>Automotive Tech Week Megatrends</t>
  </si>
  <si>
    <t>Megatrends</t>
  </si>
  <si>
    <t>100% Virtual | Live and OnDemand</t>
  </si>
  <si>
    <t>2021/01/25 – 29</t>
  </si>
  <si>
    <t>Autom-Megatrends.png                  142 x 105</t>
  </si>
  <si>
    <t>Connect. Accelerate. Showcase. Educate.</t>
  </si>
  <si>
    <t>Contact form on bottom of main page:</t>
  </si>
  <si>
    <t>TU-Auto</t>
  </si>
  <si>
    <t>https://automotive.knect365.com/</t>
  </si>
  <si>
    <t>AVG Complimentary Webinar:&amp;nbsp; What Fleets Need to Consider When Electrifying Their Depots</t>
  </si>
  <si>
    <t>Electrifying-Depots</t>
  </si>
  <si>
    <t>2021/01/26  10:00 – 11:00 PST (13:00 – 14:00 EST)</t>
  </si>
  <si>
    <t>David-Peterson.png   72 x 100</t>
  </si>
  <si>
    <t>Other Presenters TBD</t>
  </si>
  <si>
    <t>Drive World Conference &amp; Expo  (SAVE THE DATE)</t>
  </si>
  <si>
    <t>Drive-World</t>
  </si>
  <si>
    <t>Santa Clara, CA</t>
  </si>
  <si>
    <t>2021/01/26–28 (Postponed from 2020/08/11–13)</t>
  </si>
  <si>
    <t>Drive-World-Expo.png      168 x 79</t>
  </si>
  <si>
    <t>&amp;hellip; brings together the brightest minds across the automotive electronics and embedded systems industries &amp;hellip;</t>
  </si>
  <si>
    <t>Informa Markets Division of Informa PLC</t>
  </si>
  <si>
    <t>Free Webinar:  New Energy Landscape Hub Series: Charging Up for an EV future</t>
  </si>
  <si>
    <t>Energy-Landscape</t>
  </si>
  <si>
    <t>2021/01/27 11:00 – 12:00 CET</t>
  </si>
  <si>
    <t>AVERE</t>
  </si>
  <si>
    <t>Free Webinar:  Battery Performance and Testing &amp;ndash; Why Pursue Failure Analysis</t>
  </si>
  <si>
    <t>Failure-Analysis</t>
  </si>
  <si>
    <t>2021/01/27 10:00 – 11:00 EST</t>
  </si>
  <si>
    <t>Russ-Gyenes.png   83 x 120</t>
  </si>
  <si>
    <t>eVision &amp;ndash; Accelerating Fleet Electrification</t>
  </si>
  <si>
    <t>eVision</t>
  </si>
  <si>
    <t>Online</t>
  </si>
  <si>
    <t>2021/02/02 – 03</t>
  </si>
  <si>
    <t>https://avere.org/calendar/</t>
  </si>
  <si>
    <t>SAE 2021 Government / Industry Meeting</t>
  </si>
  <si>
    <t>SAE-G-I-Mtg</t>
  </si>
  <si>
    <t>&lt;strike&gt;Washington, DC&lt;/strike&gt; OnLine &amp; On-Demand</t>
  </si>
  <si>
    <t>2021/02/02 – 04</t>
  </si>
  <si>
    <t>Capitol-small.png            77 x 63</t>
  </si>
  <si>
    <t>Uniting Government Policy and Regulatory Makers with the Automotive Industry</t>
  </si>
  <si>
    <t>2020/08/08</t>
  </si>
  <si>
    <t>SAE CEU Course:  Accident Reconstruction, the Autonomous Vehicle and ADAS</t>
  </si>
  <si>
    <t>c1869-21-2</t>
  </si>
  <si>
    <t>&lt;i&gt;Live&amp;nbsp;online&lt;/i&gt;</t>
  </si>
  <si>
    <t>2021/02/09 – 10</t>
  </si>
  <si>
    <t>Alan-Moore.png    76 x 100</t>
  </si>
  <si>
    <t>After the crash, you need to know if an autonomous &amp;hellip; system &amp;hellip; affected the outcome of the accident.</t>
  </si>
  <si>
    <t>Full Fee:  $599  –  SAE members: $539</t>
  </si>
  <si>
    <t>0.7 CEUs</t>
  </si>
  <si>
    <t>SAE Learning Center</t>
  </si>
  <si>
    <t>https://www.sae.org/learn/professional-development</t>
  </si>
  <si>
    <t>Volpe Webinar:  The Imperative and Opportunity to Invest in Resilient Infrastructure</t>
  </si>
  <si>
    <t>Flynn</t>
  </si>
  <si>
    <t>Cambridge, MA</t>
  </si>
  <si>
    <t>2021/02/09 12:00 – 12:45</t>
  </si>
  <si>
    <t>Stephen-Flynn.png       82 x 120</t>
  </si>
  <si>
    <t>Ellen Bell</t>
  </si>
  <si>
    <t>617-494-2491</t>
  </si>
  <si>
    <t>mailto:ellen.bell@dot.gov</t>
  </si>
  <si>
    <t>Upcoming Volpe Events</t>
  </si>
  <si>
    <t>Policy</t>
  </si>
  <si>
    <t>Webinar:&amp;nbsp; Solid-State Batteries &amp;ndash; The Key Enabling Technology in Electric&amp;nbsp;Vehicles</t>
  </si>
  <si>
    <t>2021/02/10 10:00 – 11:00 EST</t>
  </si>
  <si>
    <t>Asma-Sharafi.png  106 x 120</t>
  </si>
  <si>
    <t>DoT-SBIR-Pre-Offer</t>
  </si>
  <si>
    <t>2021/02/11 13:00 – 14:00 EST</t>
  </si>
  <si>
    <t>DoT-SBIR.png   123 x 122</t>
  </si>
  <si>
    <t>DoT-SBIR</t>
  </si>
  <si>
    <t>Brown Bag Lunch (Free Webinar): High-Speed Rail Development in China</t>
  </si>
  <si>
    <t>HSR-China</t>
  </si>
  <si>
    <t>2021/02/12 13:00 – 14:00</t>
  </si>
  <si>
    <t>Anthony-Perl.png          84 x 115</t>
  </si>
  <si>
    <t>High Speed Rail Alliance</t>
  </si>
  <si>
    <t>Hybrid &amp; Electric Vehicle Technologies Symposium</t>
  </si>
  <si>
    <t>HybridEV; HVTS</t>
  </si>
  <si>
    <t>Pasadena, CA</t>
  </si>
  <si>
    <t>2021/02/16 – 18</t>
  </si>
  <si>
    <t>Hybrid-EV-2021.png    113 x 118</t>
  </si>
  <si>
    <t>&amp;hellip; include[s] batteries and electrified powertrain systems and components, infrastructure, energy storage, public policy, consumer acceptance &amp;hellip;</t>
  </si>
  <si>
    <t>CANCELLED</t>
  </si>
  <si>
    <t xml:space="preserve">2021/02/17  15:00 – 17:00 CET  (09:00 – 11:00 EST) </t>
  </si>
  <si>
    <t>Crichton-Lindeman-Meijles-Portvik.png       347 x 110</t>
  </si>
  <si>
    <t>2021/02/17  18:00 – 19:00 PST  (21:00 – 22:00 EST)</t>
  </si>
  <si>
    <t>Myers-Francis-Cerquera.png   332 x 120</t>
  </si>
  <si>
    <t>Forth</t>
  </si>
  <si>
    <t>Prof. / Public</t>
  </si>
  <si>
    <t>Brown Bag Lunch (Free Webinar): Lessons from the Chicago &amp;ndash; St. Louis 110 mph Project</t>
  </si>
  <si>
    <t>110-MPH</t>
  </si>
  <si>
    <t>2021/02/19 13:00 – 14:00</t>
  </si>
  <si>
    <t>Rick-Harnish.png      90 x 120</t>
  </si>
  <si>
    <t>Inductive</t>
  </si>
  <si>
    <t>2021/02/23  10:00 – 11:00 PST  (13:00 – 14:00 EST)</t>
  </si>
  <si>
    <t>Jamieson-McHale.png   181 x 120</t>
  </si>
  <si>
    <t>“&lt;b&gt;Whit&amp;nbsp;Jamieson&lt;/b&gt;, Program Assoc., Forth”</t>
  </si>
  <si>
    <t>Free Webinar:  Trends in Hybrid and Electric Mobility in Commercial Transportation</t>
  </si>
  <si>
    <t>Trends-Comm-Transp</t>
  </si>
  <si>
    <t>2021/02/24 09:00 – 10:00 EST</t>
  </si>
  <si>
    <t>Daniel-Domke.png   84 x 120</t>
  </si>
  <si>
    <t>Webinar:&amp;nbsp; Passive Mitigation of Thermal Runaway Propagation in Dense 18650 Lithium Ion Cell Assemblies</t>
  </si>
  <si>
    <t>2021/02/24 10:00 – 11:00 EST</t>
  </si>
  <si>
    <t>Ahmed-Said-2.png               75 x 98</t>
  </si>
  <si>
    <t>Tackling</t>
  </si>
  <si>
    <t>2021/02/25  11:00 – 12:00  EST</t>
  </si>
  <si>
    <t>Hillhouse-Mantsch-Arrigo.png    278 x 120</t>
  </si>
  <si>
    <t xml:space="preserve">SAE Webcasts </t>
  </si>
  <si>
    <t>https://www.sae.org/webcasts</t>
  </si>
  <si>
    <t>Moderator:  &lt;b&gt;Lisa&amp;nbsp;Arrigo&lt;/b&gt;, SAE Media Group</t>
  </si>
  <si>
    <t>Free Webinar:  It&amp;rsquo;s a Bird! It&amp;rsquo;s a Plane! It&amp;rsquo;s an Electric Plane!</t>
  </si>
  <si>
    <t>Bird-Plane</t>
  </si>
  <si>
    <t>2021/03/09 10:00 – 11:00 PST (13:00 – 14:00 EST)</t>
  </si>
  <si>
    <t>Molloy-Stith-Ying.png  290 x 120</t>
  </si>
  <si>
    <t>https://forthmobility.org/events</t>
  </si>
  <si>
    <t>Image-Sensing</t>
  </si>
  <si>
    <t>Peterson-Struble.png    162 x 110</t>
  </si>
  <si>
    <t>Image sensing is a fundamental technology in the new wave of advanced and autonomous vehicles.</t>
  </si>
  <si>
    <t>AVNET</t>
  </si>
  <si>
    <t>International Battery Seminar and Exhibit Virtual</t>
  </si>
  <si>
    <t>Battery-Ecosystem</t>
  </si>
  <si>
    <t>2021/03/09 – 11</t>
  </si>
  <si>
    <t>Battery-Ecosystem.png  268 x 422</t>
  </si>
  <si>
    <t>Stay Connected to the Battery Ecosystem</t>
  </si>
  <si>
    <t>Cambridge Enertech</t>
  </si>
  <si>
    <t>IEEE VTS Motor Vehicles Challenge 2021</t>
  </si>
  <si>
    <t>MVC; MVC-21</t>
  </si>
  <si>
    <t>Universit&amp;eacute; du Qu&amp;eacute;bec &amp;agrave; Trois-Rivi&amp;egrave;res, Canada</t>
  </si>
  <si>
    <t>2021/03/15</t>
  </si>
  <si>
    <t>VUE.png      153 x 118</t>
  </si>
  <si>
    <t>Registration Deadline:  2021/01/31</t>
  </si>
  <si>
    <t>IEEE Vehicle Technology Society</t>
  </si>
  <si>
    <t>Lifecycle</t>
  </si>
  <si>
    <t>2021/03/17 10:00 – 12:00 CET (06:00 – 08:00 EDT)</t>
  </si>
  <si>
    <t>Vangeel-Whitkamp-Lin-Madshus-Chanson.png   445 x 120</t>
  </si>
  <si>
    <t>Webinar:  Electrolyte Flow Control to Reduce Dendrite and SEI Growth in Lithium Metal Batteries</t>
  </si>
  <si>
    <t>Dendrite</t>
  </si>
  <si>
    <t>2021/03/17 10:00 – 11:00 EDT</t>
  </si>
  <si>
    <t>Mihir-Parekh.png   84 x 120</t>
  </si>
  <si>
    <t>&lt;b&gt;Mihir&amp;nbsp;Parekh&lt;/b&gt;, PhD Candidate, Penn State University</t>
  </si>
  <si>
    <t>Intro-Charging</t>
  </si>
  <si>
    <t>2021/03/18 11:00 – 12:00 PDT (14:00 – 15:00 EDT)</t>
  </si>
  <si>
    <t>Munro-de-Cande-Rababy-Mannesson.png   326 x 114</t>
  </si>
  <si>
    <t>Design News</t>
  </si>
  <si>
    <t>MagLev-for-America</t>
  </si>
  <si>
    <t>2021/03/19  09:00 – 10:00 ??</t>
  </si>
  <si>
    <t>Jordan-Fazio.png       180 x 120</t>
  </si>
  <si>
    <t>SysCon 2021 (2021 IEEE International Systems Conference )</t>
  </si>
  <si>
    <t>SYSCON</t>
  </si>
  <si>
    <t>Vancouver, BC, Canada</t>
  </si>
  <si>
    <t>2021/03/22 – 25</t>
  </si>
  <si>
    <t>Vancouver-2.png             165 x 101</t>
  </si>
  <si>
    <t>System-level thinking is essential &amp;hellip; not only for technical systems, but also for society at large.</t>
  </si>
  <si>
    <t>Special Session Submission Deadline:  (???)</t>
  </si>
  <si>
    <t>2019/10/14 (extended from 2019/09/27 and 08/10)</t>
  </si>
  <si>
    <t>IEEE Systems Council</t>
  </si>
  <si>
    <t>2020/11/15</t>
  </si>
  <si>
    <t>ZEB – Zero Emission Bus Conference 2020</t>
  </si>
  <si>
    <t>ZEB</t>
  </si>
  <si>
    <t>Paris, France</t>
  </si>
  <si>
    <t>2021/03/23 – 24 (Postponed from 2020/04/07–08)</t>
  </si>
  <si>
    <t>Zero-Emiss-Bus.png        102 x 103</t>
  </si>
  <si>
    <t>&amp;hellip; discuss decarbonisation of public transport.</t>
  </si>
  <si>
    <t>InterTraffic Amsterdam</t>
  </si>
  <si>
    <t>InterTraffic-Amsterdam</t>
  </si>
  <si>
    <t>Amsterdam, the Netherlands</t>
  </si>
  <si>
    <t>2021/03/23 – 26</t>
  </si>
  <si>
    <t>Amsterdam-Traffic.png    165 x 91</t>
  </si>
  <si>
    <t>https://www.intertraffic.com/contact/</t>
  </si>
  <si>
    <t>InterTraffic</t>
  </si>
  <si>
    <t>https://www.intertraffic.com/</t>
  </si>
  <si>
    <t>Free Webinar:  International Compliance for Small Portable Li Ion Batteries in 2021</t>
  </si>
  <si>
    <t>Compliance</t>
  </si>
  <si>
    <t>2021/03/31 10:00 – 11:00 EDT</t>
  </si>
  <si>
    <t>Cynthia-Millsaps.png   116 x 120</t>
  </si>
  <si>
    <t>Smart-Mobility</t>
  </si>
  <si>
    <t>2021/03/31 16:30 – 18:00 EDT</t>
  </si>
  <si>
    <t>Finale-Workshop.png  142 x 128</t>
  </si>
  <si>
    <t>Attendance is Limited &amp;ndash; Register Today</t>
  </si>
  <si>
    <t>Electric Mobility Canada</t>
  </si>
  <si>
    <t>https://emc-mec.ca/event/</t>
  </si>
  <si>
    <t>The Thirteenth Annual IEEE Green Technologies (GreenTech) Conference</t>
  </si>
  <si>
    <t>GreenTech</t>
  </si>
  <si>
    <t>Golden, CO</t>
  </si>
  <si>
    <t>2021/04/07 – 09</t>
  </si>
  <si>
    <t>SAE CEU Course:  Introduction to Highly Automated Vehicles</t>
  </si>
  <si>
    <t>C1603-21-4</t>
  </si>
  <si>
    <t>2021/04/05 – 08</t>
  </si>
  <si>
    <t>Jeffery-Blackburn.png  86 x 120</t>
  </si>
  <si>
    <t>[&amp;hellp; the trend in traffic deaths has been downward for the past decade, most of this reduction has been the result of optimizing &amp;hellip; occupant crash protection systems &amp;hellip; ]Highly automated vehicles (HAVs)  offer the potential to significantly reduce or eliminate most vehicle crashes by &amp;hellip; taking action to avoid or mitigate the crash.</t>
  </si>
  <si>
    <t>Instructor:  Jeffery Blackburn</t>
  </si>
  <si>
    <t>Full Fee:  $1,299  –  SAE members: $1,169</t>
  </si>
  <si>
    <t>1.3 CEUs</t>
  </si>
  <si>
    <t>Transitioning; Granholm-Edwards</t>
  </si>
  <si>
    <t>2021/04/01  13:30 – 14:30 EDT  (10:30-11:30 PDT)</t>
  </si>
  <si>
    <t>Granholm-Edwards-Mitchell.png    259x 136</t>
  </si>
  <si>
    <t>US-DoT</t>
  </si>
  <si>
    <t>Publ. / Prof.</t>
  </si>
  <si>
    <t>High-Speed Rail Conference</t>
  </si>
  <si>
    <t>HSR-Conf-2021</t>
  </si>
  <si>
    <t>2021/04/07 – 08</t>
  </si>
  <si>
    <t>HSR-Conf-2021.png    159 x 147</t>
  </si>
  <si>
    <t>Connecting America&amp;rsquo;s Cities</t>
  </si>
  <si>
    <t>SAE CEU Course:  Modern Battery Systems &amp;mdash; the eMobility Enabler (Virtual Pre-Conference Certification)</t>
  </si>
  <si>
    <t>C2017-21-4</t>
  </si>
  <si>
    <t>&lt;strike&gt;Detroit, MI&lt;/strike&gt; &lt;i&gt;Live&amp;nbsp;online&lt;/i&gt;</t>
  </si>
  <si>
    <t>2021/04/07 – 13 (was 11– 13)</t>
  </si>
  <si>
    <t>Spek-Konecky.png   186 x 132</t>
  </si>
  <si>
    <t>Instructor:  Erik Spek or Kevin Konecky</t>
  </si>
  <si>
    <t>Full Fee:  $1,899</t>
  </si>
  <si>
    <t>2.0 CEUs</t>
  </si>
  <si>
    <t>c1869-21-4</t>
  </si>
  <si>
    <t>2021/04/08</t>
  </si>
  <si>
    <t>Transportation Camp Unconference, Philadelphia</t>
  </si>
  <si>
    <t>T-Camp-PHL</t>
  </si>
  <si>
    <t>2021/04/10</t>
  </si>
  <si>
    <t>17&lt;sup&gt;th&lt;/sup&gt; ITS Asia Pacific Forum 2020 &amp;ndash; Brisbane</t>
  </si>
  <si>
    <t>ITS-AP-2021; ITS-AP-2020</t>
  </si>
  <si>
    <t>Brisbane, Queensland, Australia</t>
  </si>
  <si>
    <t>2021/04/12 – 15</t>
  </si>
  <si>
    <t>AP-2021-LessText.png    424 x 412</t>
  </si>
  <si>
    <t>ITS Innovation Creating Liveable Communities</t>
  </si>
  <si>
    <t>Global Innovation Competition</t>
  </si>
  <si>
    <t>Emerging Technologies and Solutions that create a Safer, Greener, Smarter Mobility System.</t>
  </si>
  <si>
    <t>Smart Cities Connect Spring Conference &amp; Expo</t>
  </si>
  <si>
    <t>SmartCities; SmartCitiesSpring</t>
  </si>
  <si>
    <t>Virtual OnLine</t>
  </si>
  <si>
    <t>2021/04/13 – 14</t>
  </si>
  <si>
    <t>SmartCitiesConnect.png         253 x 253</t>
  </si>
  <si>
    <t>Real Community &amp;mdash; Real Solutions.</t>
  </si>
  <si>
    <t>2020/06/12 (extended from 05/15)</t>
  </si>
  <si>
    <t>TechConnect</t>
  </si>
  <si>
    <t>2020/01/17</t>
  </si>
  <si>
    <t>WCX Digital Summit</t>
  </si>
  <si>
    <t>WCX; WCXDS21</t>
  </si>
  <si>
    <t>2021/04/13 – 15</t>
  </si>
  <si>
    <t>WCX-21.png    160 x 125</t>
  </si>
  <si>
    <t>Drive World Conference &amp; Expo</t>
  </si>
  <si>
    <t>San Jose, CA</t>
  </si>
  <si>
    <t>2021/04/13–15  (Postponed from 01/26–28 and 2020/08/11–13)</t>
  </si>
  <si>
    <t>&lt;strike&gt;Vancouver, BC, Canada&lt;/strike&gt; &lt;i&gt;Virtual CyberSpace&lt;/i&gt;</t>
  </si>
  <si>
    <t>2021/04/15 – 05/15 (Postponed from 03/22–25)</t>
  </si>
  <si>
    <t>The Third Annual National Mobility Summit</t>
  </si>
  <si>
    <t>Mobility-21</t>
  </si>
  <si>
    <t>Washington, DC</t>
  </si>
  <si>
    <t>2021/04/15 (Postponed from 2020/04/02)</t>
  </si>
  <si>
    <t>Mobility-21.png          297 x 61</t>
  </si>
  <si>
    <t>Innovating Mobility for All</t>
  </si>
  <si>
    <t>Lisa Kay Schweyer</t>
  </si>
  <si>
    <t>US Department of Transportation University Transportation Centers</t>
  </si>
  <si>
    <t>Student / Prof.</t>
  </si>
  <si>
    <t>SAE CEU Course:  Fundamentals of High Voltage xEV, Safety, and PPE</t>
  </si>
  <si>
    <t>C2001-21-4</t>
  </si>
  <si>
    <t>&lt;strike&gt;Troy, MI&lt;/strike&gt; Live&amp;nbsp;Online</t>
  </si>
  <si>
    <t>2021/04/15 – 16 (was 04/16 only)</t>
  </si>
  <si>
    <t>Yves-Racette.png  83 x 120</t>
  </si>
  <si>
    <t>Are you aware of how to protect yourself or your employees when working around high voltage systems and platforms?</t>
  </si>
  <si>
    <t>Instructor: Yves Racette</t>
  </si>
  <si>
    <t>Charged-2021</t>
  </si>
  <si>
    <t>2021/04/19 – 21</t>
  </si>
  <si>
    <t>Charged-Virtual-Conference.png                        173 x 189</t>
  </si>
  <si>
    <t>https://chargedevs.com/conference/</t>
  </si>
  <si>
    <t>Transportation Finance Summit</t>
  </si>
  <si>
    <t>Summit</t>
  </si>
  <si>
    <t>Transp-Finance-Summit.png    317 x 118</t>
  </si>
  <si>
    <t>International Bridge Tunnel &amp; Turnpike Association</t>
  </si>
  <si>
    <t>2021 International Conference on Microwaves for Intelligent Mobility &amp;ndash; Get-Together</t>
  </si>
  <si>
    <t>ICMIM-GetTogether</t>
  </si>
  <si>
    <t>Linz, Austria</t>
  </si>
  <si>
    <t>2021/04/19 – 20</t>
  </si>
  <si>
    <t>ICMIM-withName.png   170 x 55</t>
  </si>
  <si>
    <t>Linked to event in 2020</t>
  </si>
  <si>
    <t>consecutively located with next event</t>
  </si>
  <si>
    <t>3-4 pages, .pdf, in English</t>
  </si>
  <si>
    <t>2020/01/07</t>
  </si>
  <si>
    <t>IEEE Intelligent Transportation Systems Society</t>
  </si>
  <si>
    <t>https://www.ieee-itss.org/</t>
  </si>
  <si>
    <t>add ICMIM after previous virtual conference in 2020</t>
  </si>
  <si>
    <t>IEEE Microwave Theory and Techniques Society (MTT-S)</t>
  </si>
  <si>
    <t>Taranto Workshop</t>
  </si>
  <si>
    <t>Taranto</t>
  </si>
  <si>
    <t>2021/04/21</t>
  </si>
  <si>
    <t>Taranto.png   250 x 279</t>
  </si>
  <si>
    <t>consecutively located with previous event</t>
  </si>
  <si>
    <t>Intelligent-Infra</t>
  </si>
  <si>
    <t>2021/04/20</t>
  </si>
  <si>
    <t>Intelligent-Infra.png  170 x 107</t>
  </si>
  <si>
    <t>Smart-Traffic-Contr</t>
  </si>
  <si>
    <t>Smart-Traffic-Contr.png  164 x 103</t>
  </si>
  <si>
    <t>3&lt;sup&gt;rd&lt;/sup&gt; European Conference on Connected and Automated Driving &amp;mdash; EUCAD 2021</t>
  </si>
  <si>
    <t>EUCAD</t>
  </si>
  <si>
    <t>2021/04/20 – 22</t>
  </si>
  <si>
    <t>EUCAD.png  202 x 216</t>
  </si>
  <si>
    <t>ElecTruck-BootCamp</t>
  </si>
  <si>
    <t>2021/04/20 – 08/24</t>
  </si>
  <si>
    <t>Electric-Truck-BootCamp.png  315 x 118</t>
  </si>
  <si>
    <t>ACT-News</t>
  </si>
  <si>
    <t>2021/05/04</t>
  </si>
  <si>
    <t>2021/05/18</t>
  </si>
  <si>
    <t>2021/06/01</t>
  </si>
  <si>
    <t>2021/06/15</t>
  </si>
  <si>
    <t>2021/06/29</t>
  </si>
  <si>
    <t>2021/07/13</t>
  </si>
  <si>
    <t>2021/07/27</t>
  </si>
  <si>
    <t>2021/08/10</t>
  </si>
  <si>
    <t>2021/08/24</t>
  </si>
  <si>
    <t>Planet Electric</t>
  </si>
  <si>
    <t>Nordic</t>
  </si>
  <si>
    <t>Lillestr&amp;oslash;m, Norway (was in Oslo)</t>
  </si>
  <si>
    <t>2021/04/21 – 22 (Postponed from 2020/10/08–09 and 04/23-24)</t>
  </si>
  <si>
    <t>Nordic-EV.png  111 x 161</t>
  </si>
  <si>
    <t>Entering the Electric Era</t>
  </si>
  <si>
    <t>The European Association for Electromobility</t>
  </si>
  <si>
    <t>http://avere.org/calendar/</t>
  </si>
  <si>
    <t>Montreal Electric Vehicle Show (Electric and Plug-In Hybrid Vehicle Show)</t>
  </si>
  <si>
    <t>MEVS</t>
  </si>
  <si>
    <t>Montr&amp;eacute;al, Qu&amp;eacute;bec, Canada</t>
  </si>
  <si>
    <t>2021/04/23-25 (Postponed from 2020/06/12 – 14 and 04/24 – 26)</t>
  </si>
  <si>
    <t>MonElevVehShow.png              183 x 88</t>
  </si>
  <si>
    <t>Three days opportunity to see, test, analyze and compare</t>
  </si>
  <si>
    <t>Public</t>
  </si>
  <si>
    <t>IEEE 93&lt;sup&gt;rd&lt;/sup&gt; Vehicular Technology Conference &amp;nbsp; VTC2021-Spring 2021</t>
  </si>
  <si>
    <t>VTC-Spring; VTC2021-Spring</t>
  </si>
  <si>
    <t>&lt;strike&gt;Helsinki, Finland&lt;/strike&gt; Virtual&amp;nbsp;Cyberspace</t>
  </si>
  <si>
    <t>2021/04/25 – 28</t>
  </si>
  <si>
    <t>VTC-logo.png     153 x 161</t>
  </si>
  <si>
    <t>&amp;hellip; exchange ideas in the fields of wireless, mobile, and vehicular technology.</t>
  </si>
  <si>
    <t>2020/11/02 (extended from 10/12 and 09/28)</t>
  </si>
  <si>
    <t>IEEE Vehicular Technology Society</t>
  </si>
  <si>
    <t>https://vtsociety.org/</t>
  </si>
  <si>
    <t>Start/End Date of Conference?</t>
  </si>
  <si>
    <t>Connected and Autonomous Vehicles</t>
  </si>
  <si>
    <t>CAV-2021; CAV-2020</t>
  </si>
  <si>
    <t>2021/04/26 – 29 (Postponed from 2020/08/10–13)</t>
  </si>
  <si>
    <t>CAV-2021.png  182 x 112</t>
  </si>
  <si>
    <t>Where IoT Changes Auto &amp;mdash; Enabling the Era of Automated Mobility on Demand</t>
  </si>
  <si>
    <t>????</t>
  </si>
  <si>
    <t>TU-Auto via Informa PLC</t>
  </si>
  <si>
    <t>Prof. ?</t>
  </si>
  <si>
    <t>2018/12/14</t>
  </si>
  <si>
    <t>InnoTrans 2021</t>
  </si>
  <si>
    <t>InnoTrans</t>
  </si>
  <si>
    <t>Berlin, Germany</t>
  </si>
  <si>
    <t>InnoTrans-noText.png      107 x 75</t>
  </si>
  <si>
    <t>The Future of Mobility</t>
  </si>
  <si>
    <t>Postponed by a year</t>
  </si>
  <si>
    <t>The International Maglev Board</t>
  </si>
  <si>
    <t>SAE CEU Course:  Analysis and Design of Hybrid Transmission Systems</t>
  </si>
  <si>
    <t>C2006-21-5</t>
  </si>
  <si>
    <t xml:space="preserve">Shanghai, China </t>
  </si>
  <si>
    <t>2020/05/13 – 14</t>
  </si>
  <si>
    <t>Zhihui-Duan.png         84 x 124</t>
  </si>
  <si>
    <t>&amp;hellip; to help engineers build ability for hybrid transmission development, hybrid system design, and hybrid vehicle powertrain integration.</t>
  </si>
  <si>
    <t>Instructor:  Zhihui Duan</t>
  </si>
  <si>
    <t>Fee:  $1,299</t>
  </si>
  <si>
    <t>Quebec Electric Vehicle Show</t>
  </si>
  <si>
    <t>QEVS</t>
  </si>
  <si>
    <t>Qu&amp;eacute;bec City, Qu&amp;eacute;bec, Canada</t>
  </si>
  <si>
    <t>2021/05/14 – 16  (postponed from 2020/05/22 – 24)</t>
  </si>
  <si>
    <t>QueElevVehShow.png              183 x 88</t>
  </si>
  <si>
    <t>Postponed until summer or fall</t>
  </si>
  <si>
    <t>C2012-21-5</t>
  </si>
  <si>
    <t>2021/05/14– 07/30 (Fridays only, 09:00 – 10:30 am EDT; 15:00 -16:30 CEST)</t>
  </si>
  <si>
    <t>Krovi-Blackburn.png      182 x 120</t>
  </si>
  <si>
    <t>Instructors:  Dr. Venkat Krovi and Jeff Blackburn</t>
  </si>
  <si>
    <t>Fee:  $3995.</t>
  </si>
  <si>
    <t>6.0 CEUs</t>
  </si>
  <si>
    <t>ITS America 2021</t>
  </si>
  <si>
    <t>ITS-Amer-2021</t>
  </si>
  <si>
    <t>Atlanta, GA</t>
  </si>
  <si>
    <t>2021/05/17 – 20</t>
  </si>
  <si>
    <t>Spotlight-Atlanta.png   153 x 149</t>
  </si>
  <si>
    <t>Reimagining Transportation</t>
  </si>
  <si>
    <t>Atlanta-1.png   116 x 170</t>
  </si>
  <si>
    <t>Battery Show (Europe):&amp;nbsp; Digital Days</t>
  </si>
  <si>
    <t>Dig-Days</t>
  </si>
  <si>
    <t>2021/05/18 – 20</t>
  </si>
  <si>
    <t>Battery-Show-Digital-Days.png       337 x 37</t>
  </si>
  <si>
    <t>Series link:</t>
  </si>
  <si>
    <t>https://www.thebatteryshow.eu/en/Home.html</t>
  </si>
  <si>
    <t>SAE CEU Course:  EV Motor Design Analysis and Test Verification</t>
  </si>
  <si>
    <t>C1867-21-5</t>
  </si>
  <si>
    <t>Shanghai, China</t>
  </si>
  <si>
    <t>2021/05/20 – 21</t>
  </si>
  <si>
    <t>Surong-Huang.png    76 x 120</t>
  </si>
  <si>
    <t>&amp;hellip; discusses typical EV motor design cases and practical issues related to EV motor technology &amp;hellip;</t>
  </si>
  <si>
    <t>Instructor:  Surong Huang</t>
  </si>
  <si>
    <t>Full Fee:  $588  –  membership and multi-course discounts available</t>
  </si>
  <si>
    <t>Green Transportation Summit and Expo</t>
  </si>
  <si>
    <t>GT-Summit; GTSE</t>
  </si>
  <si>
    <t>Tacoma, WA</t>
  </si>
  <si>
    <t>2021/05/24 – 26 (Postponed from 2020/08/24 – 26)</t>
  </si>
  <si>
    <t>GT-Summit.png  173 x 173</t>
  </si>
  <si>
    <t>The GTSE situates clean transportation stakeholders and advocates [with] influencers [and] decision-makers &amp;hellip; who are working to reduce emissions and lower costs &amp;hellip;.</t>
  </si>
  <si>
    <t>503-226-2377 or 1-855-740-8417</t>
  </si>
  <si>
    <t>2019/10/25</t>
  </si>
  <si>
    <t>Social Enterprises</t>
  </si>
  <si>
    <t>http://www.socialenterprises.net/</t>
  </si>
  <si>
    <t>Free Volpe Webinar:&amp;nbsp; Innovation for a Sustainable, Equitable Transportation System</t>
  </si>
  <si>
    <t>Sustainable; Volpe-1</t>
  </si>
  <si>
    <t>2021/06/02  12:30 – 13:30</t>
  </si>
  <si>
    <t>Buttigieg-Hampshire.png    169 x 120</t>
  </si>
  <si>
    <t>https://www.volpe.dot.gov/upcoming-events</t>
  </si>
  <si>
    <t>CAV-Michigan</t>
  </si>
  <si>
    <t>Zoom</t>
  </si>
  <si>
    <t>2021/06/07 – 10</t>
  </si>
  <si>
    <t>Lui-Peng-Sayer-Weimerskirch.png                350 x 120</t>
  </si>
  <si>
    <t>3.2 CEUs</t>
  </si>
  <si>
    <t>Autonomous Vehicle Technology World Expo 2020</t>
  </si>
  <si>
    <t>AVT-Ger</t>
  </si>
  <si>
    <t>Stuttgart, Germany</t>
  </si>
  <si>
    <t>2021/06/08 – 10 (Postponed from 2020/06/16–18)</t>
  </si>
  <si>
    <t>AVT-Ger-2020.png         285 x 100</t>
  </si>
  <si>
    <t>From the latest ADAS technologies to full autonomy</t>
  </si>
  <si>
    <t>Autonomous Vehicle Technology World Conference 2020</t>
  </si>
  <si>
    <t>Developing an autonomous vehicle?&amp;nbsp; This is the conference you should attend!</t>
  </si>
  <si>
    <t>Conference Track 1:  Test &amp; Development</t>
  </si>
  <si>
    <t>Prof,</t>
  </si>
  <si>
    <t>Conference Track 2:  AI, Sensors, and Sensor Fusion</t>
  </si>
  <si>
    <t>Automotive Testing Expo 2020 Europe</t>
  </si>
  <si>
    <t>Free Volpe Webinar:&amp;nbsp; A Climate-Resilient Future Is an Equitable, Just Future</t>
  </si>
  <si>
    <t>Climate-Resilient</t>
  </si>
  <si>
    <t>2021/06/08  12:00 – 12:45</t>
  </si>
  <si>
    <t>Ed-Carr.png  74 x 120</t>
  </si>
  <si>
    <t>Low-Speed; LSAV</t>
  </si>
  <si>
    <t>2021/06/08  13:00 – 15:00 EDT</t>
  </si>
  <si>
    <t>Coyner-Blackmer-Good-Schmidt-Lewis.png  435- x 120</t>
  </si>
  <si>
    <t>Continuing Education Credits are Available</t>
  </si>
  <si>
    <t>http://www.trb.org/Calendar/Calendar.aspx</t>
  </si>
  <si>
    <t>Power2Drive Europe &amp;mdash; International Exhibition for Charging Infrastructure and e-Mobility</t>
  </si>
  <si>
    <t>IEC-EM</t>
  </si>
  <si>
    <t>Munich, Bavaria, Germany</t>
  </si>
  <si>
    <t>2021/06/09 – 11 (Postponed from 2020/06/17–19)</t>
  </si>
  <si>
    <t>Power-2-Drive-Europe.bmp    172 x 102</t>
  </si>
  <si>
    <t>Charging the future of mobility!</t>
  </si>
  <si>
    <t>Postponed for a year</t>
  </si>
  <si>
    <t>http://avere.org/</t>
  </si>
  <si>
    <t>Power2Drive</t>
  </si>
  <si>
    <t>HSR-Midwest</t>
  </si>
  <si>
    <t>2021/06/11  09:00 – 10:15</t>
  </si>
  <si>
    <t>Hamish-Fazio.png       178 x 115</t>
  </si>
  <si>
    <t>TechConnect Conference and Expo</t>
  </si>
  <si>
    <t>Austin, TX</t>
  </si>
  <si>
    <t>2021/06/14-16 (postponed from 2020/06/29 – 07/01)</t>
  </si>
  <si>
    <t>TechConnect.png    358 x 68</t>
  </si>
  <si>
    <t>Abstracts due 2020/01/31 (extended from 01/24 and 2019/12/13)</t>
  </si>
  <si>
    <t xml:space="preserve">Learn how to compete for funding, and create successful commercialization strategies and partnerships. </t>
  </si>
  <si>
    <t>\n&lt;font size=2&gt;&lt;i&gt;&amp;ldquo;&amp;hellip;&amp;nbsp;they provide us the opportunity to meet top innovators &amp;hellip; all in one location.&amp;rdquo; &amp;mdash; Lockheed Martin&lt;/i&gt;&lt;/font&gt;</t>
  </si>
  <si>
    <t>Submissions due:  2020/02/28 (extended from 2019/12/13); also 03/27 for new SBIR awards announced in March</t>
  </si>
  <si>
    <t>2020/03/20</t>
  </si>
  <si>
    <t>SBIR / STTR Spring Innovation Conference</t>
  </si>
  <si>
    <t>Submissions due 2020/02/28 (extended from 2019/12/13)</t>
  </si>
  <si>
    <t>Redesigning</t>
  </si>
  <si>
    <t>2021/06/14  14:00 – 15:30 EDT</t>
  </si>
  <si>
    <t>Byala-Johnson-Eby-Hemingson.png  436 x 120</t>
  </si>
  <si>
    <t>FORTH Roadmap Conference</t>
  </si>
  <si>
    <t>Roadmap</t>
  </si>
  <si>
    <t>Virtual</t>
  </si>
  <si>
    <t>2021/06/14 – 16</t>
  </si>
  <si>
    <t>Roadmap-2021.png      131 x 104</t>
  </si>
  <si>
    <t>FORTH</t>
  </si>
  <si>
    <t>SAE CEU Course:  Hybrid and Electric Vehicle Engineering Academy</t>
  </si>
  <si>
    <t>Troy, MI</t>
  </si>
  <si>
    <t>2021/06/14 – 18</t>
  </si>
  <si>
    <t>acad06-V.png   359 x 242</t>
  </si>
  <si>
    <t>&amp;hellip; covers hybrid and electric vehicle engineering concepts, theory, and applications [that] apply primarily to the passenger car industry.</t>
  </si>
  <si>
    <t>Saeed Siavoshani, Davide Andrea, Gary Baker, Richard Byczek, Gene Liao, Manoj Shah, and Robert Spotnitz</t>
  </si>
  <si>
    <t>Full Fee:  $2,499  –  SAE members: $2,249</t>
  </si>
  <si>
    <t>3.8 CEUs</t>
  </si>
  <si>
    <t>Seven instructors</t>
  </si>
  <si>
    <t>InterTraffic China</t>
  </si>
  <si>
    <t>InterTraffic-China</t>
  </si>
  <si>
    <t>Shanghai-Traffic.png    149 x 129</t>
  </si>
  <si>
    <t>&amp;hellip;  the latest solutions for today&amp;rsquo;s challenges &amp;hellip;</t>
  </si>
  <si>
    <t>Mobility-Now</t>
  </si>
  <si>
    <t>2021/06/17   13:13 – 14:30 CEST (07:15-8:30 EDT)</t>
  </si>
  <si>
    <t>BochAnderson-Huber-Barada-Schweiger-Tzanidaki.png   439 x 120</t>
  </si>
  <si>
    <t>Ertico – ITS-Europe</t>
  </si>
  <si>
    <t>https://itsineurope.com/</t>
  </si>
  <si>
    <t>ITS Canada 2020/21</t>
  </si>
  <si>
    <t>ITS-Canada-2020; ITS-Canada-2021</t>
  </si>
  <si>
    <t>Edmonton, AB, Canada</t>
  </si>
  <si>
    <t>2021/06/21 – 22 (was 06/20–23)</t>
  </si>
  <si>
    <t>ITS-Canada-2020.png    230 x 105</t>
  </si>
  <si>
    <t>Intelligent Transportation Systems Society of Canada</t>
  </si>
  <si>
    <t>ITEC</t>
  </si>
  <si>
    <t>&lt;strike&gt;Chicago, IL&lt;/strike&gt; Virtual&amp;nbsp;Cyberspace</t>
  </si>
  <si>
    <t>2021/06/21 - 25  (was 06/23 – 25)</t>
  </si>
  <si>
    <t>ITEC.png            184 x 75</t>
  </si>
  <si>
    <t>&amp;hellip; a large industry exhibition focused on &amp;hellip; all types of electrified vehicles and transportation systems &amp;hellip;</t>
  </si>
  <si>
    <t>2020/12/18 (extended from 12/01)</t>
  </si>
  <si>
    <t>IEEE Transportation Electrification</t>
  </si>
  <si>
    <t>More details:  https://itec-conf.com/conference/?mkt_tok=eyJpIjoiTXpJNE1tUmpaREl6TVRaaSIsInQiOiJHMEw1cnhKK3p0RTA0YXBhQ2dkOEl4elVneUdpMVQ5aWQzUkdZUnhaYWFnRXVqdVwvYW1va2JkU2oydEhXQWhIcHBTQXhDNFpUTUxOTnhjY0gySW9FdExadHhqSjRCQTd3cjZWSEgyTm93TmFXZ3lMUzF4VmtQMklVRFNsY0p3REQifQ%3D%3D</t>
  </si>
  <si>
    <t>1)  Must present paper
2)  Membership requirements
3)  Fill out forms
4)  Get paid afterwards</t>
  </si>
  <si>
    <t>Free Volpe Webinar:&amp;nbsp; Net-Zero America: Potential Pathways, Infrastructure, and Impacts</t>
  </si>
  <si>
    <t>Net-Zero; Volpe-3</t>
  </si>
  <si>
    <t>2021/06/22  12:00 – 13:00</t>
  </si>
  <si>
    <t>Erin-Mayfield.png  110 x 120</t>
  </si>
  <si>
    <t>The 34&lt;sup&gt;th&lt;/sup&gt; International Electric Vehicle Symposium and Exposition (EVS-34)</t>
  </si>
  <si>
    <t>EVS-34</t>
  </si>
  <si>
    <t>Nanjing, China</t>
  </si>
  <si>
    <t>2021/06/25 – 28</t>
  </si>
  <si>
    <t>EVS34-2-minText.png   408 x 72</t>
  </si>
  <si>
    <t>By integrating mobility revolution with energy revolution and information revolution, we will achieve greater economic and ecological benefit for the global sustainable development.</t>
  </si>
  <si>
    <t>2021/02/21</t>
  </si>
  <si>
    <t>Battery Safety Summit &amp;ndash; Virtual</t>
  </si>
  <si>
    <t>Bat-Safety</t>
  </si>
  <si>
    <t>2021/06/29 – 30</t>
  </si>
  <si>
    <t>Batt-Safety-Summ-Virt.png  320 x 63</t>
  </si>
  <si>
    <t>LDIA 2021 (The 13&lt;sup&gt;th&lt;/sup&gt; International Symposium on Linear Drives for Industry Applications)</t>
  </si>
  <si>
    <t>LDIA</t>
  </si>
  <si>
    <t>Wuhan, China</t>
  </si>
  <si>
    <t>2021/07/01 – 03</t>
  </si>
  <si>
    <t>Wuhan-Pagoda.png   127 x 126</t>
  </si>
  <si>
    <t>&amp;hellip; the pivotal international conference on linear motor research field.</t>
  </si>
  <si>
    <t>Abstracts due:  2021/01/31</t>
  </si>
  <si>
    <t>LDIA sponsored by IEE Japan</t>
  </si>
  <si>
    <t>TMI (Transdisciplinary Mobility Innovation) Educational Video Competition</t>
  </si>
  <si>
    <t>TMI; TMI-EVC</t>
  </si>
  <si>
    <t>2021/07/04 - 22</t>
  </si>
  <si>
    <t>TMI.png       237 x 240</t>
  </si>
  <si>
    <t>Associated with preceding event</t>
  </si>
  <si>
    <t>2021/06/13 (extended from 06/06 and 05/23)</t>
  </si>
  <si>
    <t>SAE CEU Course:  Introduction to Automotive Cybersecurity</t>
  </si>
  <si>
    <t>C1911-21-7</t>
  </si>
  <si>
    <t>2021/07/07</t>
  </si>
  <si>
    <t>Wu-Jun.png    77 x 120</t>
  </si>
  <si>
    <t>Instructor:  Wu Jun (or Jun Wu)</t>
  </si>
  <si>
    <t>Fee:  $294 (lowered from $599)</t>
  </si>
  <si>
    <t>Special Event:  Critical Infrastructure for a Clean Future: DOT&amp;rsquo;s role in a transition to a net&amp;#8209;zero economy</t>
  </si>
  <si>
    <t>DoT-Role</t>
  </si>
  <si>
    <t>2021/07/08  13:00 – 14:00 EDT</t>
  </si>
  <si>
    <t>Buttigieg-Shuler-Blue-Rice.png   371 x 120</t>
  </si>
  <si>
    <t>Biparrtisan Policy Center</t>
  </si>
  <si>
    <t>SAE CEU Course:  Intelligent Vehicles: From Functional Framework to Vehicle Architecture</t>
  </si>
  <si>
    <t>C1615-21-7</t>
  </si>
  <si>
    <t>2021/07/09 – 10</t>
  </si>
  <si>
    <t>Chengliang-Yin-1.png        79 x 120</t>
  </si>
  <si>
    <t xml:space="preserve">&amp;hellip; gain an understanding of the growing variety of intelligent vehicle technologies and how they must function together effectively as a system. </t>
  </si>
  <si>
    <t>Instructor:  Chengliang Yin</t>
  </si>
  <si>
    <t>Tesla Birthday Expo 2021</t>
  </si>
  <si>
    <t>Tesla-Bday</t>
  </si>
  <si>
    <t>Shoreham, LI, NY</t>
  </si>
  <si>
    <t>2021/07/10  11:00 – 15:00 EDT</t>
  </si>
  <si>
    <t>Tesla-Bday-2021.png     152 x 128</t>
  </si>
  <si>
    <t>Explore STEAM exhibits, robotics, Tesla coils, Tesla Car Showcase, Amateur Radio
Get hands-on with Battlebots, Maker Space trailer, interactive STEAMed bus from NYIT
Enjoy offerings from Artisans, Sponsors, Vendors
Food and beverage available for purchase</t>
  </si>
  <si>
    <t>Tesla Science Center at Wardenclyffe</t>
  </si>
  <si>
    <t>Tesla Birthday Night Show 2021</t>
  </si>
  <si>
    <t>Tesla-Bday-NS</t>
  </si>
  <si>
    <t>2021/07/10  20:00 – 22:00 EDT</t>
  </si>
  <si>
    <t>Pink-Tesla-Coil.png        252 x 165</t>
  </si>
  <si>
    <t>Featuring ArcAttack electric music and light show with Tesla coils!
STEAM exhibits and activities
Food and beverages included</t>
  </si>
  <si>
    <r>
      <rPr>
        <sz val="11"/>
        <color indexed="8"/>
        <rFont val="Calibri"/>
        <family val="2"/>
      </rPr>
      <t>32&lt;sup&gt;</t>
    </r>
    <r>
      <rPr>
        <vertAlign val="superscript"/>
        <sz val="11"/>
        <color indexed="8"/>
        <rFont val="Calibri"/>
        <family val="2"/>
      </rPr>
      <t>nd</t>
    </r>
    <r>
      <rPr>
        <sz val="11"/>
        <color indexed="8"/>
        <rFont val="Calibri"/>
        <family val="2"/>
      </rPr>
      <t>&lt;/sup&gt; IEEE Intelligent Vehicles Symposium</t>
    </r>
  </si>
  <si>
    <t>IV2021</t>
  </si>
  <si>
    <t>&lt;strike&gt;Nagoya, Japan&lt;/strike&gt; Virtual&amp;nbsp;Cyberspace</t>
  </si>
  <si>
    <t>2021/07/11 – 17</t>
  </si>
  <si>
    <t>IV21-Nagoya.png   151 x 142</t>
  </si>
  <si>
    <t>2021/02/01</t>
  </si>
  <si>
    <t>2020/12/28 (extended from 11/30)</t>
  </si>
  <si>
    <t>Workshop/Tutorrial day:  2021/07/11</t>
  </si>
  <si>
    <t>Workshop Papers</t>
  </si>
  <si>
    <t>2021/04/30 firm and final</t>
  </si>
  <si>
    <t>Thesis</t>
  </si>
  <si>
    <t>Ka-Eric-Cheng.png     87 x 120</t>
  </si>
  <si>
    <t>2021/05/21 (extended from 04/30)</t>
  </si>
  <si>
    <t>Battery Seminar 2021</t>
  </si>
  <si>
    <t>BatSem</t>
  </si>
  <si>
    <t>Plymouth, MI</t>
  </si>
  <si>
    <t>2021/07/13 – 15 (Postponed from 2020/10/06–08 and  07/21–23)</t>
  </si>
  <si>
    <t>PlugVolt.png 299 x 54</t>
  </si>
  <si>
    <t>Conference fostering joint development efforts to advance energy storage solutions</t>
  </si>
  <si>
    <t>Day 1:  July 13:  Battery Training Tutorials</t>
  </si>
  <si>
    <t>Flexible Pricing:  You can pay for 1, 2, or all three days.</t>
  </si>
  <si>
    <t>http://plugvolt.com/</t>
  </si>
  <si>
    <t>Day 2:  July 14:  Energy Storage Systems in Automotive Applications</t>
  </si>
  <si>
    <t>Networking Pass (no seminar access) for 07/14 only  $200</t>
  </si>
  <si>
    <t>Dr-John-Warner.png    129 x 147</t>
  </si>
  <si>
    <t>Day 3:  July 15:  Energy StorageSystems in Stationary Grid/Utility Applications</t>
  </si>
  <si>
    <t>Free Webinar:&amp;nbsp; Auto, Aero and Defense Electrification: Optimizing Induction Motor Design for Manufacturing</t>
  </si>
  <si>
    <t>Induc-Motor</t>
  </si>
  <si>
    <t>2021/07/14  14:00 – 15:00 EDT  (11:00–12:00 PDT)</t>
  </si>
  <si>
    <t>Aukerman-Bennett.png   162 x 120</t>
  </si>
  <si>
    <t>Free Webinar&amp;nbsp; CHBC Briefing &amp;ndash; The Business Case for Light Duty Hydrogen Stations</t>
  </si>
  <si>
    <t>Hydrogen-Business</t>
  </si>
  <si>
    <t>2021/07/15  10:00 – 11:30 PDT (13:00–14:30 EDT)</t>
  </si>
  <si>
    <t>Vacin-Martinez-Ellis-Rahemtulla-Burgunder-Zobel-1.png   492 x 116</t>
  </si>
  <si>
    <t>Hydrogen means Business in California</t>
  </si>
  <si>
    <t>California Hydrogen Business Council (CHBC)</t>
  </si>
  <si>
    <t>Vacin-Martinez-Ellis-Rahemtulla-Burgunder-Zobel.png   273 x 238</t>
  </si>
  <si>
    <t>2021 Hydrogen Policy Briefing Series</t>
  </si>
  <si>
    <t>series link:  https://www.californiahydrogen.org/2021-hydrogen-policy-briefing-series/</t>
  </si>
  <si>
    <t>Northeast-Rail</t>
  </si>
  <si>
    <t>2021/07/16  09:00 – 10:00  EDT</t>
  </si>
  <si>
    <t>Yaro-Fazio.png 166 x 115</t>
  </si>
  <si>
    <t>C2001-21-7</t>
  </si>
  <si>
    <t>2021/07/16</t>
  </si>
  <si>
    <t>SAE 2021 Automotive Computing and Communication Conference</t>
  </si>
  <si>
    <t>Comp-Comm</t>
  </si>
  <si>
    <t>2021/07/20 – 21</t>
  </si>
  <si>
    <t>Shanghai-city-small.png        207 x 119</t>
  </si>
  <si>
    <t>Free Volpe Webinar:&amp;nbsp; Advancing a Just and Low-Carbon Future with Urban Electrification</t>
  </si>
  <si>
    <t>Just-and-Low-Carbon; Volpe-4</t>
  </si>
  <si>
    <t>2021/07/20  12:00 – 13:00</t>
  </si>
  <si>
    <t>Marilyn-Brown.png   115 x 120</t>
  </si>
  <si>
    <t>DoE-SBIR-Webinar</t>
  </si>
  <si>
    <t>2021/07/20  14:00 EDT</t>
  </si>
  <si>
    <t>DoE-SBIR-bigger.png  286 x 272</t>
  </si>
  <si>
    <t>#DoE-SBIR</t>
  </si>
  <si>
    <t>DoE-SBIR</t>
  </si>
  <si>
    <t>2021/07/21  14:00 EDT</t>
  </si>
  <si>
    <t>Philadelphia, PA</t>
  </si>
  <si>
    <t>2021/07/24</t>
  </si>
  <si>
    <t>Free Webinar:&amp;nbsp; Making Cost an Attribute in Electric Vehicle Development</t>
  </si>
  <si>
    <t>Cost-Attrib</t>
  </si>
  <si>
    <t>2021/07/28  10:00 – 10:30 EDT</t>
  </si>
  <si>
    <t>Glover-Arrigo.png   182 x 117</t>
  </si>
  <si>
    <t>(CIVS) Cooperative Interactive Vehicles Summer School 2021</t>
  </si>
  <si>
    <t>CIVS</t>
  </si>
  <si>
    <t>Lake Tahoe, CA</t>
  </si>
  <si>
    <t>2021/08/01 – 04</t>
  </si>
  <si>
    <t>CIVS-2021.png  299 x 99</t>
  </si>
  <si>
    <t>Regen-Loads</t>
  </si>
  <si>
    <t>2021/08/03  10:00 EDT  (07:00 PDT; 16:00 CEST)</t>
  </si>
  <si>
    <t>Eric-Turner.png   82 x 120</t>
  </si>
  <si>
    <t>Engineering360</t>
  </si>
  <si>
    <t>Solid-State Battery Summit &amp;ndash; Virtual</t>
  </si>
  <si>
    <t>SS-Batt-Summit</t>
  </si>
  <si>
    <t>2021/08/03 – 04</t>
  </si>
  <si>
    <t>SS-Batt-Summ-Virt.png        324 x 75</t>
  </si>
  <si>
    <t>https://www.cambridgeenertech.com/</t>
  </si>
  <si>
    <t>Solid-State-Batt-Cutaway.png    140 x 139</t>
  </si>
  <si>
    <t>Free Volpe Webinar:&amp;nbsp; The Transportation and Climate Initiative: Multi-State Collaboration to Advance Equitable Low&amp;#8209;Carbon Transportation</t>
  </si>
  <si>
    <t>Equitable; Volpe-5</t>
  </si>
  <si>
    <t>2021/08/03  12:00 – 12:45</t>
  </si>
  <si>
    <t>James-Bradbury.png   79 x 120</t>
  </si>
  <si>
    <t>SAE CEU Course:  Infrared Camera for ADAS and Autonomous Sensing</t>
  </si>
  <si>
    <t>C1934-21-8</t>
  </si>
  <si>
    <t>2021/08/11</t>
  </si>
  <si>
    <t>Rajeev-Thakur.png    105 x 158</t>
  </si>
  <si>
    <t>&amp;hellip; provide the foundation on which to build near infrared camera technologies for automotive applications.</t>
  </si>
  <si>
    <t>Full Fee:  $599;  Memberhip discounts available</t>
  </si>
  <si>
    <t>SAE CEU Course:  LIDAR for ADAS and Autonomous Sensing</t>
  </si>
  <si>
    <t>C1935-21-8</t>
  </si>
  <si>
    <t>2021/08/12</t>
  </si>
  <si>
    <t>&amp;hellip; provide the foundation on which to build LIDAR technologies in automotive applications.</t>
  </si>
  <si>
    <t>AIAA/IEEE Electric Aircraft Technologies Symposium (EATS)</t>
  </si>
  <si>
    <t>EATS</t>
  </si>
  <si>
    <t>2021/08/11 – 13 (was 08/12 – 13)</t>
  </si>
  <si>
    <t>NASA-EP-40.png             184 x 114</t>
  </si>
  <si>
    <t>&amp;hellip; nontraditional aircraft propulsion: electric, turboelectric, or hybrid/electric powertrains.</t>
  </si>
  <si>
    <t>2020/08/24 – 26</t>
  </si>
  <si>
    <t>AIAA/IEEE EATS Students Design Competition/Challenge 2021</t>
  </si>
  <si>
    <t>EATS-SDC</t>
  </si>
  <si>
    <t>2021/08/12 – 13</t>
  </si>
  <si>
    <t>EATS-Drone.png  234 x 81</t>
  </si>
  <si>
    <t>2021/08/13 14:00 EDT</t>
  </si>
  <si>
    <t>C2012-21-8</t>
  </si>
  <si>
    <t>2021/08/13– 10/29 (Fridays only, 09:00 – 10:30 am EDT; 15:00 -16:30 CEST)</t>
  </si>
  <si>
    <t>NAECON</t>
  </si>
  <si>
    <t>Virtual Congerence &lt;i&gt;centered on&lt;/i&gt; Dayton, OH</t>
  </si>
  <si>
    <t>2021/08/16–19</t>
  </si>
  <si>
    <t>NAECON-2021.png     150 x 150</t>
  </si>
  <si>
    <t>Futuristic Autonomy</t>
  </si>
  <si>
    <t>2021/05/31 (final – extended from 05/14)</t>
  </si>
  <si>
    <t>IEEE</t>
  </si>
  <si>
    <t>2021/08/16–18  (Postponed from 04/13–15, 01/26–28 and 2020/08/11–13)</t>
  </si>
  <si>
    <t>2021/08/16 – 18 (Postponed from 05/24–26 and 2020/08/24 – 26)</t>
  </si>
  <si>
    <t>2021 Reflecting + Refocusing on a Resilient Future Application</t>
  </si>
  <si>
    <t>2021/01/31  (extended from 01/15)</t>
  </si>
  <si>
    <t>ar:  It’s A Bird! It’s A Plane! It’s an Electric Plane!</t>
  </si>
  <si>
    <t>Automotive Tech Week</t>
  </si>
  <si>
    <t>Automotive-Tech</t>
  </si>
  <si>
    <t>Novi, MI</t>
  </si>
  <si>
    <t>2021/08/16 – 20</t>
  </si>
  <si>
    <t>Autom-Tech-Week.png    144 x 86</t>
  </si>
  <si>
    <t>SAE CEU Course:  High Voltage Vehicle Safety Systems and Personal Protective Equipment (PPE)</t>
  </si>
  <si>
    <t>C1732-21-8</t>
  </si>
  <si>
    <t>2021/08/16</t>
  </si>
  <si>
    <t>Mark-Quarto.png  136 x 165</t>
  </si>
  <si>
    <t>High voltage vehicle safety is a primary concern for [anyone] involved in developing, diagnosing or repairing hybrid or electric vehicles.</t>
  </si>
  <si>
    <t>Instructor: Mark Quarto</t>
  </si>
  <si>
    <t>Postponed to 2021/10/18</t>
  </si>
  <si>
    <t>SAE CEU Course:  Hybrid and Electric Vehicle Systems</t>
  </si>
  <si>
    <t>C1504-21-8</t>
  </si>
  <si>
    <t>2021/08/17 – 19</t>
  </si>
  <si>
    <t>&amp;hellip;  three-day practical and applications-based course &amp;hellip;</t>
  </si>
  <si>
    <t>Postponed to 2021/10/19 – 21</t>
  </si>
  <si>
    <t>Full Fee:  $1,699  –  SAE members: $1,259</t>
  </si>
  <si>
    <t>Simplif-Testing</t>
  </si>
  <si>
    <t>2021/08/17  13:00 EDT  (10:00 PDT)</t>
  </si>
  <si>
    <t>ISMB 17:  17&lt;sup&gt;th&lt;/sup&gt; International Symposium on Magnetic Bearings</t>
  </si>
  <si>
    <t>ISMB-17</t>
  </si>
  <si>
    <t>&lt;strike&gt;Rio de Janeiro, Brazil&lt;/strike&gt; Virtual&amp;nbsp;Cyberspace</t>
  </si>
  <si>
    <t>2021/08/18 – 21 (Postponed from 2020/12/01–04)</t>
  </si>
  <si>
    <t>ISMB-17.png   174 x 185</t>
  </si>
  <si>
    <t>2021/04/01 (extended from 2021/03/01, 2020/06/01, 03/15, and 02/29)</t>
  </si>
  <si>
    <t>http://www.maglevboard.net/en/;   http://www.maglevboard.net/en/the-conferences</t>
  </si>
  <si>
    <t>C1603-21-8</t>
  </si>
  <si>
    <t>2021/08/23 – 24</t>
  </si>
  <si>
    <t>Free Volpe Webinar:&amp;nbsp; Toward Carbon Neutral Mobility</t>
  </si>
  <si>
    <t>Carbon-Neutral; Volpe-5a</t>
  </si>
  <si>
    <t>2021/08/24  12:00 – 12:45</t>
  </si>
  <si>
    <t>Tim-Wallington.png                       84 x 120</t>
  </si>
  <si>
    <t>Sound of Science &lt;/b&gt;Immersive Musical Experience</t>
  </si>
  <si>
    <t>Sound-of-Science</t>
  </si>
  <si>
    <t>2021/08/28  19:00 – 22:00 EDT</t>
  </si>
  <si>
    <t>Sound-of-Science.png   211 x 135</t>
  </si>
  <si>
    <t>https://teslasciencecenter.org/events/</t>
  </si>
  <si>
    <t>Advanced Clean Transportation (ACT) Expo</t>
  </si>
  <si>
    <t>ACTexpo</t>
  </si>
  <si>
    <t>http://www.actexpo.com/</t>
  </si>
  <si>
    <t>Long Beach, CA</t>
  </si>
  <si>
    <t>2021/08/30–09/02 (postponed from 2021/05/03–06 and2020/ 05/11–14)</t>
  </si>
  <si>
    <t>ActExpo-Triangle.png   199 x 194</t>
  </si>
  <si>
    <t>https://www.actexpo.com/contact</t>
  </si>
  <si>
    <t>ACT News</t>
  </si>
  <si>
    <t>Networking tour:  2019/04/22</t>
  </si>
  <si>
    <t>2021/08/31–09/01 (postponed from 2020/05/04–05 and 2020/05/12 – 13)</t>
  </si>
  <si>
    <t>2019/11/30 (extended from 10/31)</t>
  </si>
  <si>
    <t>SAE Course:  Automotive Cybersecurity Certification: Level One</t>
  </si>
  <si>
    <t>C2105-21-8</t>
  </si>
  <si>
    <t>2021/08/30 – 31      11:30 – 17:30 EDT</t>
  </si>
  <si>
    <t>Tuv-Sud.png   113 x 113</t>
  </si>
  <si>
    <t>In conjunction with T&amp;Uuml;V S&amp;Uuml;D</t>
  </si>
  <si>
    <t>Full Fee:  $1,603</t>
  </si>
  <si>
    <t>No CEUs specified.</t>
  </si>
  <si>
    <t>c1869-21-8</t>
  </si>
  <si>
    <t>2021/08/31</t>
  </si>
  <si>
    <t>Free Webinar:&amp;nbsp; Designing Autonomous Vehicles?&amp;nbsp; Success Depends on Sensors, Components, and More</t>
  </si>
  <si>
    <t>Success</t>
  </si>
  <si>
    <t>2021/08/31  14:00 – 15:00 EDT</t>
  </si>
  <si>
    <t>Bonanti-Wilson-Cadugan.png   242 x 120</t>
  </si>
  <si>
    <t>C1867-21-9</t>
  </si>
  <si>
    <t>2021/09/07 – 08</t>
  </si>
  <si>
    <t>Full Fee:  $588</t>
  </si>
  <si>
    <t>TRB Free Webinar:&amp;nbsp; Enter and Search Projects Like a Pro with Research in Progress Database</t>
  </si>
  <si>
    <t>RiP</t>
  </si>
  <si>
    <t>2020/09/08  14:00 – 15:00 EDT</t>
  </si>
  <si>
    <t>Daly-Ewoldsen.png   139 x 80</t>
  </si>
  <si>
    <t xml:space="preserve">The Research in Progress (RIP) is a leading tool for transportation professionals to stay updated &amp;hellip; </t>
  </si>
  <si>
    <t>Presented by:&amp;nbsp; &lt;b&gt;Janet&amp;nbsp;Daly&lt;/b&gt;, Transportation Research Board</t>
  </si>
  <si>
    <t>Beth Ewoldsen</t>
  </si>
  <si>
    <t>See also #TRIS</t>
  </si>
  <si>
    <t>Moderated by:  &lt;b&gt; Beth Ewoldsen, Transportation Research Board</t>
  </si>
  <si>
    <t>Free Webinar:&amp;nbsp; Designing EVs for longer lifespans: A glimpse into innovative high-powered charging technologies</t>
  </si>
  <si>
    <t>Longer-Lifespan</t>
  </si>
  <si>
    <t>2021/09/08 13:00 EDT</t>
  </si>
  <si>
    <t>Jeremy-Patterson.png 81 x 120</t>
  </si>
  <si>
    <t>New Mobility Career Fair</t>
  </si>
  <si>
    <t>New-Mob-CC</t>
  </si>
  <si>
    <t>2021/09/09 – 10</t>
  </si>
  <si>
    <t>New-Mob-Carr-Fair.png   133 x 100</t>
  </si>
  <si>
    <t>49&lt;sup&gt;th&lt;/sup&gt; European Transport Conference</t>
  </si>
  <si>
    <t>ETC</t>
  </si>
  <si>
    <t>&lt;i&gt;Virtual&amp;nbsp;Cyberspace&lt;/i&gt;</t>
  </si>
  <si>
    <t>2021/09/13 – 15 (was 09–15)</t>
  </si>
  <si>
    <t>ETC-2021.png   211 x 107</t>
  </si>
  <si>
    <t>2020/02/08</t>
  </si>
  <si>
    <t>Association for European Transport</t>
  </si>
  <si>
    <t>ISSE 2021 (7&lt;sup&gt;th&lt;/sup&gt; IEEE International Symposium on Systems Engineering)</t>
  </si>
  <si>
    <t>ISSE</t>
  </si>
  <si>
    <t>&lt;strike&gt;Vienna, Austria&lt;/strike&gt; &lt;i&gt;Virtual&amp;nbsp;Cyberspace&lt;/i&gt;</t>
  </si>
  <si>
    <t>2021/09/13 – 10/13 (was 09/13–09/15)</t>
  </si>
  <si>
    <t>ISSE-2021-noText.png   230 x 161</t>
  </si>
  <si>
    <t>&amp;hellip; advancement of &amp;hellip; multiple disciplines and specialty areas associated with the engineering of complex systems.</t>
  </si>
  <si>
    <t>Special-Session Proposals:  2020/05/26 (extended from 04/26)</t>
  </si>
  <si>
    <t>Automotive Tech Week  Europe (formerly known as TU-Automotive Europe)</t>
  </si>
  <si>
    <t>ATW-Europe</t>
  </si>
  <si>
    <t>100% OnDemand</t>
  </si>
  <si>
    <t>2021/09/13 – 17</t>
  </si>
  <si>
    <t>Autom-Tech-Week-Europe.png   137 x 100</t>
  </si>
  <si>
    <t>SAE CEU Course:  Overview of the Role of Connected and Autonomous Vehicles in Smart Cities</t>
  </si>
  <si>
    <t>C1953-21-9</t>
  </si>
  <si>
    <t>Rosemont, Illinois</t>
  </si>
  <si>
    <t>2021/09/13</t>
  </si>
  <si>
    <t>Bob-McQueen-2.png              109 x 127</t>
  </si>
  <si>
    <t>&amp;hellip; big data and analytics, [as] applied to data generated by autonomous and connected vehicles, &amp;hellip; explained within the context of a smart city.</t>
  </si>
  <si>
    <t>Instructor:  Robert McQueen</t>
  </si>
  <si>
    <t>Full Fee:  $299;   SAE Members:  $269</t>
  </si>
  <si>
    <t>0.4 CEUs</t>
  </si>
  <si>
    <t>C2006-21-9</t>
  </si>
  <si>
    <t>2020/09/14 – 15</t>
  </si>
  <si>
    <t>&amp;hellip; increase an engineer&amp;rsquo;s knowledge of hybrid transmission development, hybrid system design, and hybrid vehicle powertrain integration.</t>
  </si>
  <si>
    <t>Fee:  $588</t>
  </si>
  <si>
    <t>Free Volpe Webinar:&amp;nbsp; Mobility Best Practices and E-Mobility Diversity, Equity, and Inclusion in Accelerating EV Adoption</t>
  </si>
  <si>
    <t>Shelley-Francis; Volpe-6</t>
  </si>
  <si>
    <t>2021/09/14  12:00 – 12:45</t>
  </si>
  <si>
    <t>ShelleyFrancis.png  131 x 120</t>
  </si>
  <si>
    <t>Free Webinars:&amp;nbsp; From the Sources&amp;rsquo; Mouth</t>
  </si>
  <si>
    <t>Sources-Mouth</t>
  </si>
  <si>
    <t>2020/09/14 – 16      09:00 – 16:00 EDT</t>
  </si>
  <si>
    <t>BBC-etc.png   202 x 202</t>
  </si>
  <si>
    <t>09/14 &amp;ndash; Federal Granting Agencies&lt;br/&gt;SBA, NIH, NSF, DOC-NOAA, DOE, USDA, NIAD</t>
  </si>
  <si>
    <t>BBC Entrepreneurial Training &amp; Consulting</t>
  </si>
  <si>
    <t>09/15 &amp;ndash; Federal Contracting Agencies&lt;br/&gt;SBA, EPA, BARDA, NASA, DOT, DOEd, CDMRP</t>
  </si>
  <si>
    <t>09/16 &amp;ndash; DOD &amp; Components&lt;br/&gt;DOD, ARMY, DARPA, SPARTN, NavSea, Air Force/AFWERX</t>
  </si>
  <si>
    <t>Electric &amp; Hybrid Vehicle Technology Expo</t>
  </si>
  <si>
    <t>EVTech</t>
  </si>
  <si>
    <t>2021/09/14 – 16 (Postponed from 2020/09/15 – 17)</t>
  </si>
  <si>
    <t>EHVTX.png    342 x 177</t>
  </si>
  <si>
    <t>&amp;hellip; offers expert-led educational sessions and a showcase of materials, components, and systems &amp;hellip;</t>
  </si>
  <si>
    <t>Colocated with next event</t>
  </si>
  <si>
    <t>2020/04/03</t>
  </si>
  <si>
    <t>The Battery Show</t>
  </si>
  <si>
    <t>BatteryShow</t>
  </si>
  <si>
    <t>Battery-Show-2021NA.png    213 x 45</t>
  </si>
  <si>
    <t>Colocated with previous event</t>
  </si>
  <si>
    <t>COMVEC&amp;trade;</t>
  </si>
  <si>
    <t>COMVEC</t>
  </si>
  <si>
    <t>2021/09/14 – 16</t>
  </si>
  <si>
    <t>COMVEC.png   228 x 92</t>
  </si>
  <si>
    <t>Abstracts due:  2018/03/01</t>
  </si>
  <si>
    <t>Digital Rail Revolution &amp;ndash; Online Summit</t>
  </si>
  <si>
    <t>Rail-Revolution</t>
  </si>
  <si>
    <t>2021/09/15 – 16</t>
  </si>
  <si>
    <t>Digital-Rail-Revolution-Margin .png 274 x 137</t>
  </si>
  <si>
    <t>Global Railway Review</t>
  </si>
  <si>
    <t>North American International Propulsion Conference</t>
  </si>
  <si>
    <t>NAIPC</t>
  </si>
  <si>
    <t>Chicago, IL</t>
  </si>
  <si>
    <t>NAIPC-2021.png      189 x 95</t>
  </si>
  <si>
    <t>ZEB – Zero Emission Bus Conference 2021</t>
  </si>
  <si>
    <t>ZEB-Denver</t>
  </si>
  <si>
    <t>Denver, CO</t>
  </si>
  <si>
    <t>2021/09/15 – 17</t>
  </si>
  <si>
    <t>&amp;hellip; equipping school, transit, and shuttle bus managers with the necessary tools to electrify their fleets.</t>
  </si>
  <si>
    <t>`</t>
  </si>
  <si>
    <t>SAE CEU Course:  Application Development of Electric Vehicles and Hybrid Electric Vehicles: Balancing Economic Objectives and Technical Requirements</t>
  </si>
  <si>
    <t>C1630-21-9</t>
  </si>
  <si>
    <t>2021/09/16 – 17</t>
  </si>
  <si>
    <t>Tsinghua-Univ.png         127 x 100</t>
  </si>
  <si>
    <t>&amp;hellip; emission and fuel consumption regulations are pushing the automotive industry towards electrified powertrain and electrified vehicles &amp;hellip; particularly &amp;hellip; in China &amp;hellip;</t>
  </si>
  <si>
    <t>Moved from November</t>
  </si>
  <si>
    <t>24&lt;sup&gt;th&lt;/sup&gt; IEEE International Conference on Intelligent Transportation &amp;ndash; ITSC2021</t>
  </si>
  <si>
    <t>ITSC; ITSC2021</t>
  </si>
  <si>
    <t>Indianapolis, IN &lt;i&gt;and&lt;/i&gt; Virtual Cyberspace</t>
  </si>
  <si>
    <t>2021/09/19 – 22</t>
  </si>
  <si>
    <t>Indianapolis.png   74 x 241</t>
  </si>
  <si>
    <t>Contact Form</t>
  </si>
  <si>
    <t>2021/04/15 (extended from 03/31)</t>
  </si>
  <si>
    <t>International Conference on Ecology and Transportation</t>
  </si>
  <si>
    <t>ICOET</t>
  </si>
  <si>
    <t>2021/09/21 – 30</t>
  </si>
  <si>
    <t>ICOET-2019.png      124 x 126</t>
  </si>
  <si>
    <t>2021/05/07 (extended from 04/23)</t>
  </si>
  <si>
    <t>SAE CEU Course:&amp;nbsp; Electrochemical Energy Systems for Electrified Aircraft Propulsion: Batteries and Fuel Cell Systems Joint AIAA / SAE course)</t>
  </si>
  <si>
    <t>c2015-21-9</t>
  </si>
  <si>
    <t>&lt;i&gt;Live Online&lt;/i&gt;</t>
  </si>
  <si>
    <t>2021/09/22 – 10/15  13:00 – 15:00 EDT  (We &amp; Fr only)</t>
  </si>
  <si>
    <t>MacRae-Spek-Weng.png   281 x 117</t>
  </si>
  <si>
    <t>&amp;hellip; Electro-chemical Energy Systems (EES), with an emphasis on electrified aircraft propulsion and power applications.</t>
  </si>
  <si>
    <t>Full Fee:  $1,099 ($989 for members; $495 for Students)</t>
  </si>
  <si>
    <t>1.6 CEUs</t>
  </si>
  <si>
    <t>Free Webinar:&amp;nbsp; Wireless Power Transfer &amp;ndash; The Invisible Truth</t>
  </si>
  <si>
    <t>Invisible-Truth</t>
  </si>
  <si>
    <t>2021/09/22  16:00 – 17:30 EDT  (13:00 – 14:30 PDT)</t>
  </si>
  <si>
    <t>Williamson-Covic-Daga-Esguerra-Ozpineci-1.png  423 x 120</t>
  </si>
  <si>
    <t>&lt;b&gt;Sheldon&amp;nbsp;S.&amp;nbsp;Williamson&lt;/b&gt;, Prof., Univ. Ontario &amp;ndash; Inst. of Techn. (UOIT)</t>
  </si>
  <si>
    <t>IEEE Transportation Electrification Webinars</t>
  </si>
  <si>
    <t>https://tec.ieee.org/education/webinars/</t>
  </si>
  <si>
    <t>Free Volpe Webinar:&amp;nbsp;  Strategies to Overcome Transportation Barriers for Rent Burdened Residents</t>
  </si>
  <si>
    <t>Rent-Burdened; Susan-Shaheen; Volpe-7</t>
  </si>
  <si>
    <t>2021/09/23  12:00 – 12:45</t>
  </si>
  <si>
    <t>Susan-Shaheen.png  88 x 120</t>
  </si>
  <si>
    <t>National Drive Electric Week</t>
  </si>
  <si>
    <t>ElecDriveWeek</t>
  </si>
  <si>
    <t>Various Locations</t>
  </si>
  <si>
    <t>2020/09/25 – 10/03</t>
  </si>
  <si>
    <t>DriveElectric.png     222 x 55</t>
  </si>
  <si>
    <t>&amp;hellip; a nationwide celebration to raise awareness of the many benefits of all-electric and plug-in hybrid cars, trucks, motorcycles, and more.</t>
  </si>
  <si>
    <t>Plug-In America</t>
  </si>
  <si>
    <t>http://www.pluginamerica.org</t>
  </si>
  <si>
    <t>LeviCar only</t>
  </si>
  <si>
    <t>FAST-Zero</t>
  </si>
  <si>
    <t>Kanazawa, Japan</t>
  </si>
  <si>
    <t>2021/09/27 – 10/01</t>
  </si>
  <si>
    <t>FAST-Zero-21-noText.png  192 x 51</t>
  </si>
  <si>
    <t>Vehicular Technology Conference &amp;nbsp; VTC2021-Fall 2021</t>
  </si>
  <si>
    <t>VTC-Fall; VTC2021-Fall</t>
  </si>
  <si>
    <t>Virtual&amp;nbsp;Cyberspace</t>
  </si>
  <si>
    <t>2021/09/27 – 30</t>
  </si>
  <si>
    <t>2021/05/31 (final extension)</t>
  </si>
  <si>
    <t>TRB Webinar:&amp;nbsp; Innovations in Using Vehicle Probe, Connected Vehicles, and Cellular Data</t>
  </si>
  <si>
    <t>Probe</t>
  </si>
  <si>
    <t>2020/09/27  14:00 – 15:30 EDT</t>
  </si>
  <si>
    <t>Pack-Ivanov-Hutchinson-Frey.png       322 x 120</t>
  </si>
  <si>
    <t xml:space="preserve">$95 fee for some people
1.5 Professional Development Hours (PDHs) </t>
  </si>
  <si>
    <t>TRB Free Webinar:&amp;nbsp; TRB Webinar: TRID and Reference Management Software</t>
  </si>
  <si>
    <t>Ref-Management</t>
  </si>
  <si>
    <t>2020/09/28  14:00 – 15:00 EDT</t>
  </si>
  <si>
    <t>McLeod-Ferrell.png   203 x 120</t>
  </si>
  <si>
    <t>If you are researching anything in transportation, you want to start with TRB&amp;rsquo;s TRID Database.</t>
  </si>
  <si>
    <t>Presented by:&amp;nbsp; &lt;b&gt;Bill&amp;nbsp;McLeod&lt;/b&gt;, Transportation Research Board</t>
  </si>
  <si>
    <t>Q &amp; A by:&amp;nbsp; &lt;b&gt;Elaine&amp;nbsp;Ferrell&lt;/b&gt;, Transportation Research Board</t>
  </si>
  <si>
    <t>Powertrains, Fuels &amp; Lubricants Meeting</t>
  </si>
  <si>
    <t>Lubricants</t>
  </si>
  <si>
    <t>Online and On-Demand</t>
  </si>
  <si>
    <t>2021/09/28 – 30</t>
  </si>
  <si>
    <t>Lubricant-2b.png          342 x 61</t>
  </si>
  <si>
    <t>Sometime in the Fall (was 2020/10/04 – 08)</t>
  </si>
  <si>
    <t>SAE CEU Course:  The Role of Connected and Autonomous Vehicles in Smart Cities</t>
  </si>
  <si>
    <t>C1912-21-9</t>
  </si>
  <si>
    <t>2021/09/28 – 10/01</t>
  </si>
  <si>
    <t>Robert-McQueen-B-W.png            74 x 120</t>
  </si>
  <si>
    <t>Redefining Mobility for the Future</t>
  </si>
  <si>
    <t>Electric Vehicles International Conference &amp; Show</t>
  </si>
  <si>
    <t>EV2021</t>
  </si>
  <si>
    <t>ICPE Solar Park, Bucharest, Romania</t>
  </si>
  <si>
    <t>2021/10/07 – 08</t>
  </si>
  <si>
    <t>EV2019.png       273 x 59</t>
  </si>
  <si>
    <t>&amp;hellip;  a hub for electric mobility professionals and also for electric cars enthusiasts.</t>
  </si>
  <si>
    <t>2019/04/30 re-extended from 04/15, 04/01 and 01/31</t>
  </si>
  <si>
    <t>Association for Promoting Electric Vehicles in Romania</t>
  </si>
  <si>
    <r>
      <rPr>
        <sz val="11"/>
        <color indexed="59"/>
        <rFont val="Calibri"/>
        <family val="2"/>
      </rPr>
      <t xml:space="preserve">12 Minutes in </t>
    </r>
    <r>
      <rPr>
        <b/>
        <sz val="11"/>
        <color indexed="59"/>
        <rFont val="Calibri"/>
        <family val="2"/>
      </rPr>
      <t>English</t>
    </r>
  </si>
  <si>
    <t>2019/10/01</t>
  </si>
  <si>
    <t>33.1” x 46.8”</t>
  </si>
  <si>
    <t>2021/10/01 – 03 (postponed from 2021/05/14–16 and 2020/05/22 – 24)</t>
  </si>
  <si>
    <t>ITS World Congress</t>
  </si>
  <si>
    <t>ITS-World; ITSWC21</t>
  </si>
  <si>
    <t>Hamburg, Germany</t>
  </si>
  <si>
    <t>2021/10/11 – 15</t>
  </si>
  <si>
    <t>ITS-World-Cong-Hamb.png    307 x 187</t>
  </si>
  <si>
    <t>Experience Future Mobility Now</t>
  </si>
  <si>
    <t>2021/01/11</t>
  </si>
  <si>
    <t>2021/06/20</t>
  </si>
  <si>
    <t>Transportation Camp Unconference, NYC</t>
  </si>
  <si>
    <t>T-Camp-NYC</t>
  </si>
  <si>
    <t>New York, NY</t>
  </si>
  <si>
    <t>2021/10/14 – 17</t>
  </si>
  <si>
    <t>2021/10/14  18:00 – 20:00 EDT</t>
  </si>
  <si>
    <t>2021/10/16  10:30 – 16:00 EDT</t>
  </si>
  <si>
    <t>Virtual Unconference</t>
  </si>
  <si>
    <t>2021/10/17  12:00 – 14:00 EDT</t>
  </si>
  <si>
    <t>Outdoor Post-event Picnic</t>
  </si>
  <si>
    <t>C2001-21-10</t>
  </si>
  <si>
    <t>2021/10/15</t>
  </si>
  <si>
    <t>Washington, DC (moved from Austin, TX)</t>
  </si>
  <si>
    <t>2021/10/18 – 20 (postponed from 06/14-16 and  2020/06/29 – 07/01)</t>
  </si>
  <si>
    <t>Postponed and moved</t>
  </si>
  <si>
    <t>Abstracts due 2021/06/25 (extended from 2021/05/14, 2020/01/31, 01/24 and 2019/12/13)</t>
  </si>
  <si>
    <t>2021/09/13 (postponed from 08/13, 08/06 and  2020/03/20)</t>
  </si>
  <si>
    <t>Paper submission same as for main conference</t>
  </si>
  <si>
    <t>2021/10/18 – 21</t>
  </si>
  <si>
    <t>C1732-21-10</t>
  </si>
  <si>
    <t>2021/10/18 (Postponed from 08/16)</t>
  </si>
  <si>
    <t>C1504-21-10</t>
  </si>
  <si>
    <t>2021/10/19 – 21 (Postponed from 08/17–19)</t>
  </si>
  <si>
    <t>SAE CEU Course:  ADAS Application: Automatic Emergency Braking</t>
  </si>
  <si>
    <t>C1704-21-10</t>
  </si>
  <si>
    <t>Orlando, FL</t>
  </si>
  <si>
    <t>2021/10/21</t>
  </si>
  <si>
    <t>Leaphart-Eldon.png         79 x 120</t>
  </si>
  <si>
    <t>Automatic Emergency Braking (AEB) is one ADAS application [by] nearly all automakers &amp;hellip;</t>
  </si>
  <si>
    <t>Instrtuctor:  Eldon Leaphart</t>
  </si>
  <si>
    <t>Postponed to 2021/11/05</t>
  </si>
  <si>
    <t>Full Fee:  $810  –  membership discount available</t>
  </si>
  <si>
    <t>Investigate</t>
  </si>
  <si>
    <t>2021/10/22  (raindate: 2021/10/29)</t>
  </si>
  <si>
    <t>LIPI.png        251 x 111</t>
  </si>
  <si>
    <t>The IEEE Vehicular Power and Propulsion 2021 (VPPC 2021)</t>
  </si>
  <si>
    <t>VPPC</t>
  </si>
  <si>
    <t>Gij&amp;oacute;n, Spain</t>
  </si>
  <si>
    <t>2021/10/25 – 28</t>
  </si>
  <si>
    <t>Gijon-Spain.png     117 x 160</t>
  </si>
  <si>
    <t>&amp;hellip; interactive and multidisciplinary discussions on &lt;b&gt;electrified&lt;/b&gt; vehicle power, propulsion and related technologies.</t>
  </si>
  <si>
    <t>2021/05/10, (changed from 04/16 &amp; 04/19)</t>
  </si>
  <si>
    <t>5 pages, up to 7 pages with addt&amp;rsquo;l charge</t>
  </si>
  <si>
    <t>2021/04/19 (extended from 04/12 and 03/22)</t>
  </si>
  <si>
    <t>2021/03/01</t>
  </si>
  <si>
    <t>2021/07/12 (extended)</t>
  </si>
  <si>
    <t>2021/07/12 (was 06/28)</t>
  </si>
  <si>
    <t>Future Trends World Summit</t>
  </si>
  <si>
    <t>Future-Trends</t>
  </si>
  <si>
    <t>2021/10/26 – 28</t>
  </si>
  <si>
    <t>Future-Trends-World-Summit.png    228 x 52</t>
  </si>
  <si>
    <t>Win the Future</t>
  </si>
  <si>
    <t>Agenda for Wed., 10/27:  https://informaconnect.com/future-trends-world-summit/agenda/2/</t>
  </si>
  <si>
    <t>Model-Powertrain</t>
  </si>
  <si>
    <t>2021/10/27  10:00 – 11:30 EST (16:00–17:30 CEST)</t>
  </si>
  <si>
    <t>Sabin-Carpiuc.png  84 x 120</t>
  </si>
  <si>
    <t>2021/11/02 – 04 (Postponed from 2021/04/26–29 and 2020/08/10–13)</t>
  </si>
  <si>
    <t>Probably Cancelled</t>
  </si>
  <si>
    <t>SAE CEU Course:  Principles of Cost and Finance for Engineers</t>
  </si>
  <si>
    <t>C0828-21-11</t>
  </si>
  <si>
    <t>2021/11/01 – 12     (11:30 – 15:30 EST)  (MWF)</t>
  </si>
  <si>
    <t>James-Masiak.png    84 x 100</t>
  </si>
  <si>
    <t>&amp;hellip; it is critical that engineers possess a working knowledge of engineering economics principles.</t>
  </si>
  <si>
    <t>Full Fee:  $1,699  ($1,529 for members)</t>
  </si>
  <si>
    <t>SAE CEU Course:  Introduction to Hybrid and Electric Vehicle Battery Systems</t>
  </si>
  <si>
    <t>C0626-21-11</t>
  </si>
  <si>
    <t>2021/11/01 – 04 (was 04–05)</t>
  </si>
  <si>
    <t>&amp;hellip;will introduce participants to the concepts of hybrid vehicles, their missions and the role of batteries in&amp;hellip; .</t>
  </si>
  <si>
    <t>C1704-21-11; C1704-21-10</t>
  </si>
  <si>
    <t>2021/11/05 (postponed from 10/21)</t>
  </si>
  <si>
    <t>Transportation Camp Unconference, Pittsburgh</t>
  </si>
  <si>
    <t>T-Camp-PGH</t>
  </si>
  <si>
    <t>Pittsburgh, PA</t>
  </si>
  <si>
    <t>2021/11/06</t>
  </si>
  <si>
    <t>Centering</t>
  </si>
  <si>
    <t>2021/11/09  10:00-11:00 PST (13:00-14:00 EST)</t>
  </si>
  <si>
    <t>Yusuff-Wachunas-Walker-x-2.png            210 x 242</t>
  </si>
  <si>
    <t>Sustainable Innovation Forum</t>
  </si>
  <si>
    <t>Sust-Innov;H2-Trans</t>
  </si>
  <si>
    <t>Glasgow, Scotland, UK &lt;i&gt;and&lt;/i&gt; Online</t>
  </si>
  <si>
    <t>2021/11/08-10</t>
  </si>
  <si>
    <t>Clim-Act-Innov-Zone.png     360 x 282</t>
  </si>
  <si>
    <t>Hydrogen Transition Summit</t>
  </si>
  <si>
    <t>2021/11/11</t>
  </si>
  <si>
    <t>InterTraffic Mexico</t>
  </si>
  <si>
    <t>InterTraffic-Mexico</t>
  </si>
  <si>
    <t>Mexico City, Mexico</t>
  </si>
  <si>
    <t>2021/11/09 – 11</t>
  </si>
  <si>
    <t>Mexico-City-Traffic.png         121 x 76</t>
  </si>
  <si>
    <t>Learn from key leaders [who] will inspire you with best practices on trending topics.</t>
  </si>
  <si>
    <t>C1630-21-11</t>
  </si>
  <si>
    <t>2021/11/10 – 11</t>
  </si>
  <si>
    <t>Moved to September</t>
  </si>
  <si>
    <t>SAE CEU Course:  Introduction to Automated Vehicle Safety: Multi-Agent, Functional, SOTIF, and Cybersecurity</t>
  </si>
  <si>
    <t>C1950-21-11</t>
  </si>
  <si>
    <t>Juan-Pimentel.png  89 x 120</t>
  </si>
  <si>
    <t>Instructor:  Juan R. Pimentel</t>
  </si>
  <si>
    <t>25&lt;sup&gt;th&lt;/sup&gt;th International Conference on Magnetically Levitated Systems and Linear Drives, MAGLEV 2020</t>
  </si>
  <si>
    <t>MAGLEV-2020</t>
  </si>
  <si>
    <t>Changsha, China</t>
  </si>
  <si>
    <t>2021/11/11 – 12 (Postponed from 2020/10/12–14)</t>
  </si>
  <si>
    <t>Changsha-China.png   118 x 107</t>
  </si>
  <si>
    <t>&amp;hellip; constructive discussion on the prospects of magnetic levitation technologies and linear motors in transport and industry.</t>
  </si>
  <si>
    <t>Hunan Maglev Research Center</t>
  </si>
  <si>
    <t>2020/03/31 (extended from 02/28, 02/10)</t>
  </si>
  <si>
    <t>Cultural Program</t>
  </si>
  <si>
    <t>2020/10/15</t>
  </si>
  <si>
    <t>Invis-Threads</t>
  </si>
  <si>
    <t>2021/11/12 20:00 – 23:00 EST</t>
  </si>
  <si>
    <t>Invisible-Threads4.png  190 x 247</t>
  </si>
  <si>
    <t>$25, $20 for members</t>
  </si>
  <si>
    <t>TechConnect Europe Innovation Conference &amp; Expo</t>
  </si>
  <si>
    <t>TechConnect-Eu</t>
  </si>
  <si>
    <t>Malm&amp;ouml;, Sweden</t>
  </si>
  <si>
    <t>2021/11/15 – 17  (Postponed from 2020/10/19 – 21)</t>
  </si>
  <si>
    <t>TechConnect-Eu.png          289 x 55</t>
  </si>
  <si>
    <t xml:space="preserve">Accelerating the global innovation community </t>
  </si>
  <si>
    <t>Sarah Wenning, VP Ops</t>
  </si>
  <si>
    <t>Novi, MI &lt;i&gt;and&lt;/i&gt; Virtual Cyberspace</t>
  </si>
  <si>
    <t>2021/11/15 – 19 (postponed from 08/16–20)</t>
  </si>
  <si>
    <t xml:space="preserve">Focus:&amp;nbsp; Electrification &amp; Advanced Propulsion </t>
  </si>
  <si>
    <t>2021/11/15 – 16</t>
  </si>
  <si>
    <t>Transport Innovation Summit</t>
  </si>
  <si>
    <t>TIS</t>
  </si>
  <si>
    <t>2021/11/15 – 19  09:00-20:00 CET (03:00-14:00 EST)</t>
  </si>
  <si>
    <t>Reddaway-Gilligan-Lancaster-Zaffar.png   360 x 120</t>
  </si>
  <si>
    <t>Free passes available to certain transit agencies and governments.</t>
  </si>
  <si>
    <t>2021/11/16  14:00 EST</t>
  </si>
  <si>
    <t>2021/11/17  14:00 EST</t>
  </si>
  <si>
    <t>2021/11/18  14:00 EST</t>
  </si>
  <si>
    <t>ElectrifyNow</t>
  </si>
  <si>
    <t>2021/11/17  09:00 – 13:00 CET (03:00-07:00 EST)</t>
  </si>
  <si>
    <t>Electrification-Alliance.png    221 x 114</t>
  </si>
  <si>
    <t>2021/11/17 – 18  (Postponed from 2021/03/23 – 24 and 2020/04/07–08)</t>
  </si>
  <si>
    <t>Infrastructure</t>
  </si>
  <si>
    <t>2021/11/19  13:00 EST  (10:00 PST)</t>
  </si>
  <si>
    <t>Susquehanna-Bridge.png   121 x 93</t>
  </si>
  <si>
    <t>https://www.hsrail.org/events</t>
  </si>
  <si>
    <t>Ted-Rappaport</t>
  </si>
  <si>
    <t>2021/11/19  18:30 – 20:30</t>
  </si>
  <si>
    <t>TSCW2021_GlobalGala.png   130 x 101</t>
  </si>
  <si>
    <t>Ted-Rappaport.png  83 x 120</t>
  </si>
  <si>
    <t>2021/11/29 – 12/03</t>
  </si>
  <si>
    <t>acad06-B.png   361 x 242</t>
  </si>
  <si>
    <t>Saeed Siavoshani, Davide Andrea, Richard Byczek, Gene Liao, Manoj Shah, Robert Spotnitz, and Caisheng Wang</t>
  </si>
  <si>
    <t>Gary Baker subst by Caisheng Wang</t>
  </si>
  <si>
    <t>Full Fee:  $2,499</t>
  </si>
  <si>
    <t>C2012-21-12</t>
  </si>
  <si>
    <t>2021/12/03 – 2022/03/04 (Fridays only, 09:00 – 10:30 am EST; 15:00 -16:30 CET)</t>
  </si>
  <si>
    <t>aabc</t>
  </si>
  <si>
    <t>San Diego, CA &lt;i&gt;and&lt;/i&gt; Virtual</t>
  </si>
  <si>
    <t>2021/12/07 – 09</t>
  </si>
  <si>
    <t>https://www.advancedautobat.com/</t>
  </si>
  <si>
    <t>Charlotte, NC</t>
  </si>
  <si>
    <t>2021/12/07 – 10  (was 05/17–20)</t>
  </si>
  <si>
    <t>Charlotte-Conv-Cen-by-Night.png   159 x 131</t>
  </si>
  <si>
    <t>AVERE E-Mobility Conference 2021</t>
  </si>
  <si>
    <t>AEC-21</t>
  </si>
  <si>
    <t>2021/12/13 – 14</t>
  </si>
  <si>
    <t>AEC-21-smaller.png   244 x 98</t>
  </si>
  <si>
    <t>Fit for e-mobility in 2030</t>
  </si>
  <si>
    <t>6&lt;sup&gt;th&lt;/sup&gt; Conference of Transportation Research Group of India (CTRG-2021)</t>
  </si>
  <si>
    <t>CTRG</t>
  </si>
  <si>
    <t>Tiruchirappalli, India</t>
  </si>
  <si>
    <t>2021/12/14 – 17</t>
  </si>
  <si>
    <t>TRG-India.png    297 x 152</t>
  </si>
  <si>
    <t>&amp;hellip; to cover a wide spectrum of topics related to transportation of people and freight.</t>
  </si>
  <si>
    <t>Transportation Research Group of India</t>
  </si>
  <si>
    <t>ITEC-India</t>
  </si>
  <si>
    <t>Gurugram, Haryana, India</t>
  </si>
  <si>
    <t>2021/12/16 – 19</t>
  </si>
  <si>
    <t>Transportation Camp Unconference, Washington, DC</t>
  </si>
  <si>
    <t>2022/01/08</t>
  </si>
  <si>
    <t>2022/01/09 - 13</t>
  </si>
  <si>
    <t>The European Startup Prize for Mobility (4&lt;sup&gt;the&lt;/sup&gt; edition)</t>
  </si>
  <si>
    <t>StartUpPrize</t>
  </si>
  <si>
    <t>Hybrid:  Online and In-Person</t>
  </si>
  <si>
    <t>Euro-StartUp-Prz-Mobility-plain.png      200 x 200</t>
  </si>
  <si>
    <t>&amp;hellip; boosting the most promising European clean mobility startups &amp;hellip;</t>
  </si>
  <si>
    <t xml:space="preserve">&lt;Reserved space </t>
  </si>
  <si>
    <t>2021/11/30</t>
  </si>
  <si>
    <t>ERTICO</t>
  </si>
  <si>
    <t xml:space="preserve">Prize Structure and Instructions:  https://www.agorize.com/en/challenges/eusp-2021 </t>
  </si>
  <si>
    <t>2022/03/28  16:00 – 18:30 CEST</t>
  </si>
  <si>
    <t>International Battery Seminar and Exhibit &amp;ndash; Virtual</t>
  </si>
  <si>
    <t>Orlando, FL &lt;i&gt;and&lt;/i&gt; Virtual</t>
  </si>
  <si>
    <t>2022/03/28 – 31</t>
  </si>
  <si>
    <t>2022/03/29 – 04/01  (Postponed from 2021/03/23–26)</t>
  </si>
  <si>
    <t>Experience the latest solutions for today&amp;rsquo;s and tomorrow&amp;rsquo;s challenges with all the experts in the field.</t>
  </si>
  <si>
    <t>Exhibitor's info: https://www.intertraffic.com/amsterdam/exhibiting/</t>
  </si>
  <si>
    <t>c1869-22-4</t>
  </si>
  <si>
    <t>Detroit, MI</t>
  </si>
  <si>
    <t>2022/04/04</t>
  </si>
  <si>
    <t>C1603-22-4</t>
  </si>
  <si>
    <t>2022/04/04 – 05</t>
  </si>
  <si>
    <t>C1950-22-4</t>
  </si>
  <si>
    <t>C1934-22-4</t>
  </si>
  <si>
    <t>2022/04/06</t>
  </si>
  <si>
    <t>C0828-22-4</t>
  </si>
  <si>
    <t>2022/04/11 – 22     (11:30 – 15:30 EDT)  (MWF)</t>
  </si>
  <si>
    <t>C1935-22-4</t>
  </si>
  <si>
    <t>2022/04/13</t>
  </si>
  <si>
    <t>C2001-22-4</t>
  </si>
  <si>
    <t>2022/04/14 -15</t>
  </si>
  <si>
    <t>C2012-22-4</t>
  </si>
  <si>
    <t>2022/04/22 – 2022/07/08 (Fridays only, 09:00 – 10:30 am EDT; 15:00 -16:30 CEST)</t>
  </si>
  <si>
    <t>SysCon 2022 (16&lt;sup&gt;th&lt;/sup&gt; Annual IEEE International Systems Conference )</t>
  </si>
  <si>
    <t>https://ieeesystemscouncil.org/event/2022-ieee-international-systems-conferenc</t>
  </si>
  <si>
    <t>2022/04/25 – 28</t>
  </si>
  <si>
    <t>Montreal-dome.png   105 x 110</t>
  </si>
  <si>
    <t>Special Session Submission</t>
  </si>
  <si>
    <t>2021/09/03</t>
  </si>
  <si>
    <t>SAE CEU Course:  Safe Handling of High Voltage Battery Systems</t>
  </si>
  <si>
    <t>C1019-22-4</t>
  </si>
  <si>
    <t>2022/04/26</t>
  </si>
  <si>
    <t>&amp;hellip; battery systems show no visible or audible warning of any latent danger.</t>
  </si>
  <si>
    <t>C0626-22-4</t>
  </si>
  <si>
    <t>2022/04/27 – 28</t>
  </si>
  <si>
    <t>c2015-22-5</t>
  </si>
  <si>
    <t>2022/05/04 – 27      13:00 – 15:00 EDT  (We &amp; Fr only)</t>
  </si>
  <si>
    <t>MacRae-Spek-Weng-2.png  180 x 239</t>
  </si>
  <si>
    <t>C1912-22-5</t>
  </si>
  <si>
    <t>2022/05/17 – 18</t>
  </si>
  <si>
    <t>C1603-22-5</t>
  </si>
  <si>
    <t>2022/05/23– 24</t>
  </si>
  <si>
    <t>2022/06/06 – 10</t>
  </si>
  <si>
    <t>The 35&lt;sup&gt;th&lt;/sup&gt; International Electric Vehicle Symposium &amp; Exposition (EVS35)</t>
  </si>
  <si>
    <t>EVS-35</t>
  </si>
  <si>
    <t>Oslo, Norway</t>
  </si>
  <si>
    <t>2022/06/11 – 15</t>
  </si>
  <si>
    <t>EVS35-narrow.png  91 x 210</t>
  </si>
  <si>
    <t>ITEC; ITEC-2022</t>
  </si>
  <si>
    <t>Anaheim, CA</t>
  </si>
  <si>
    <t>2022/06/15 – 17</t>
  </si>
  <si>
    <t>2022/12/01</t>
  </si>
  <si>
    <t>2022 AIAA/IEEE ITEC+EATS Aerospace Students Design Challenge</t>
  </si>
  <si>
    <t>ITEC+EATS-ASDC; EATS-SDC</t>
  </si>
  <si>
    <t>IEEE-EATS-2022.png     419 x 153</t>
  </si>
  <si>
    <t>2022/02/28</t>
  </si>
  <si>
    <t>VTC2022-Spring; VTC-Spring</t>
  </si>
  <si>
    <t>Helsinki, Finland</t>
  </si>
  <si>
    <t>2022/06/19 – 22</t>
  </si>
  <si>
    <t>&amp;hellip; discuss and exchange ideas in the fields of wireless, mobile, and vehicular technology.</t>
  </si>
  <si>
    <t>2021/12/13</t>
  </si>
  <si>
    <t>IEEE Vehicular Technology Conference</t>
  </si>
  <si>
    <t>http://www.vtsociety.org/</t>
  </si>
  <si>
    <t>Workshop Proposals:  https://events.vtsociety.org/vtc2022-spring/conference-sessions/call-for-workshops/</t>
  </si>
  <si>
    <t>2022/02/24</t>
  </si>
  <si>
    <t>Tutorials:  https://events.vtsociety.org/vtc2022-spring/conference-sessions/call-for-tutorials/</t>
  </si>
  <si>
    <t>Portland, OR</t>
  </si>
  <si>
    <t>2022/06/29 – 30</t>
  </si>
  <si>
    <t>Roadmap-2022.png      270 x 114</t>
  </si>
  <si>
    <t>C2001-22-7</t>
  </si>
  <si>
    <t>2022/07/14 -15</t>
  </si>
  <si>
    <t>c1869-22-8</t>
  </si>
  <si>
    <t>Las Vegas, NV</t>
  </si>
  <si>
    <t>2022/08/01</t>
  </si>
  <si>
    <t>c2015-22-9</t>
  </si>
  <si>
    <t>2022/09/07 – 30      13:00 – 15:00 EDT  (We &amp; Fr only)</t>
  </si>
  <si>
    <t>C1911-22-7</t>
  </si>
  <si>
    <t>2022/07/06</t>
  </si>
  <si>
    <t>Fee:  $599</t>
  </si>
  <si>
    <t>C2012-22-9</t>
  </si>
  <si>
    <t>2022/09/16 – 2022/12/09 (Fridays only, 09:00 – 10:30 am EDT/EST; 15:00 -16:30 CEST/CET)</t>
  </si>
  <si>
    <t>ITS Central Eastern Congress</t>
  </si>
  <si>
    <t>ITS-Cen-Eastern</t>
  </si>
  <si>
    <t>Kazan, Russia</t>
  </si>
  <si>
    <t>2022/09/19 – 21 (postponed from 2020/09/21–24)</t>
  </si>
  <si>
    <t>ITS-Kazan.png   136 x 145</t>
  </si>
  <si>
    <t xml:space="preserve">&amp;hellip; to promote the development and deployment of ITS in Central and Eastern European countries. </t>
  </si>
  <si>
    <t>2019/12/16</t>
  </si>
  <si>
    <t>.doc Template:  https://itseuropeancongress.com/wp-content/uploads/2019/09/Lisbon-2020-Paper-Template-new.doc</t>
  </si>
  <si>
    <t>InnoTrans 2022</t>
  </si>
  <si>
    <t>InterTraffic Istanbul</t>
  </si>
  <si>
    <t>InterTraffic-Istanbul</t>
  </si>
  <si>
    <t>https://www.intertraffic.com/istanbul/</t>
  </si>
  <si>
    <t>Istanbul, Turkey</t>
  </si>
  <si>
    <t>2022/09/28 – 30</t>
  </si>
  <si>
    <t>Istanbul-Traffic.png         226 x 84</t>
  </si>
  <si>
    <t>&amp;hellip;  discover new technologies, products, and smart solutions to deal with today&amp;rsquo;s and tomorrow&amp;rsquo;s mobility challenges.</t>
  </si>
  <si>
    <t>C1704-22-9</t>
  </si>
  <si>
    <t>Grand Rapids, MI</t>
  </si>
  <si>
    <t>2022/09/29</t>
  </si>
  <si>
    <t>C1603-22-10</t>
  </si>
  <si>
    <t>2022/10/03 – 04</t>
  </si>
  <si>
    <t>C0828-22-11</t>
  </si>
  <si>
    <t>2022/11/07 – 18     (11:30 – 15:30 EST)  (MWF)</t>
  </si>
  <si>
    <t>2022/11/28 – 12/02</t>
  </si>
  <si>
    <t>ITS World Congress 2021</t>
  </si>
  <si>
    <t>ITS-Europe</t>
  </si>
  <si>
    <t>Lisbon, Portugal</t>
  </si>
  <si>
    <t>2023/05/22 – 24 ??  (Postponed from 2020/05/18 – 20)</t>
  </si>
  <si>
    <t>ITS-Color.png   127 x 140</t>
  </si>
  <si>
    <t>ITS: The Game Changer</t>
  </si>
  <si>
    <t>Mostly for the</t>
  </si>
  <si>
    <t>For Transportation-</t>
  </si>
  <si>
    <t>Complete List of Events</t>
  </si>
  <si>
    <t>General Public</t>
  </si>
  <si>
    <t>Innovation Professionals</t>
  </si>
  <si>
    <t>and Event Calendars</t>
  </si>
  <si>
    <t>Events &amp; Expositions</t>
  </si>
  <si>
    <t>Upcoming Events</t>
  </si>
  <si>
    <t>List of upcoming events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</si>
</sst>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General"/>
    <numFmt numFmtId="167" formatCode="h:mm"/>
    <numFmt numFmtId="168" formatCode="[$$-409]#,##0.00;[RED]\-[$$-409]#,##0.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59"/>
      <name val="Calibri"/>
      <family val="2"/>
    </font>
    <font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5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1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0.5"/>
      <color indexed="59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thin">
        <color indexed="8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8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8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8"/>
      </top>
      <bottom style="dotted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dotted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23"/>
      </bottom>
    </border>
    <border>
      <left style="thin">
        <color indexed="8"/>
      </left>
      <right style="dotted">
        <color indexed="23"/>
      </right>
      <top style="thin">
        <color indexed="8"/>
      </top>
      <bottom style="dotted">
        <color indexed="23"/>
      </bottom>
    </border>
    <border>
      <left style="thin">
        <color indexed="8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thin">
        <color indexed="8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 style="thin">
        <color indexed="8"/>
      </right>
      <top style="dotted">
        <color indexed="23"/>
      </top>
      <bottom style="thin">
        <color indexed="8"/>
      </bottom>
    </border>
    <border>
      <left style="dotted">
        <color indexed="55"/>
      </left>
      <right style="thin">
        <color indexed="8"/>
      </right>
      <top style="thin">
        <color indexed="8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 style="dotted">
        <color indexed="23"/>
      </top>
      <bottom>
        <color indexed="63"/>
      </bottom>
    </border>
    <border>
      <left style="thin">
        <color indexed="23"/>
      </left>
      <right style="thin">
        <color indexed="8"/>
      </right>
      <top style="dotted">
        <color indexed="23"/>
      </top>
      <bottom>
        <color indexed="63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23"/>
      </top>
      <bottom>
        <color indexed="63"/>
      </bottom>
    </border>
    <border>
      <left style="thin">
        <color indexed="8"/>
      </left>
      <right style="dotted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8"/>
      </right>
      <top style="dotted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23"/>
      </left>
      <right style="dotted">
        <color indexed="8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8"/>
      </right>
      <top style="dotted">
        <color indexed="8"/>
      </top>
      <bottom style="dotted">
        <color indexed="23"/>
      </bottom>
    </border>
  </borders>
  <cellStyleXfs count="2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8" fillId="0" borderId="0">
      <alignment/>
      <protection/>
    </xf>
    <xf numFmtId="164" fontId="2" fillId="2" borderId="0">
      <alignment/>
      <protection/>
    </xf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3" borderId="0">
      <alignment/>
      <protection/>
    </xf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>
      <alignment/>
      <protection/>
    </xf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>
      <alignment/>
      <protection/>
    </xf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>
      <alignment/>
      <protection/>
    </xf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>
      <alignment/>
      <protection/>
    </xf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>
      <alignment/>
      <protection/>
    </xf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>
      <alignment/>
      <protection/>
    </xf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>
      <alignment/>
      <protection/>
    </xf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>
      <alignment/>
      <protection/>
    </xf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>
      <alignment/>
      <protection/>
    </xf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3" fillId="8" borderId="1">
      <alignment/>
      <protection/>
    </xf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430"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2" xfId="0" applyFont="1" applyFill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center" wrapText="1"/>
    </xf>
    <xf numFmtId="164" fontId="0" fillId="9" borderId="2" xfId="0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right" wrapText="1"/>
    </xf>
    <xf numFmtId="164" fontId="0" fillId="9" borderId="2" xfId="0" applyFont="1" applyFill="1" applyBorder="1" applyAlignment="1">
      <alignment horizontal="left" wrapText="1"/>
    </xf>
    <xf numFmtId="167" fontId="0" fillId="0" borderId="2" xfId="0" applyNumberFormat="1" applyFont="1" applyBorder="1" applyAlignment="1">
      <alignment horizontal="center" wrapText="1"/>
    </xf>
    <xf numFmtId="164" fontId="0" fillId="10" borderId="2" xfId="0" applyFont="1" applyFill="1" applyBorder="1" applyAlignment="1">
      <alignment horizontal="center" wrapText="1"/>
    </xf>
    <xf numFmtId="164" fontId="0" fillId="10" borderId="2" xfId="0" applyFont="1" applyFill="1" applyBorder="1" applyAlignment="1">
      <alignment horizontal="left" wrapText="1"/>
    </xf>
    <xf numFmtId="164" fontId="0" fillId="0" borderId="0" xfId="0" applyFont="1" applyAlignment="1">
      <alignment wrapText="1"/>
    </xf>
    <xf numFmtId="164" fontId="0" fillId="11" borderId="2" xfId="0" applyFont="1" applyFill="1" applyBorder="1" applyAlignment="1">
      <alignment horizontal="center" vertical="center" wrapText="1"/>
    </xf>
    <xf numFmtId="164" fontId="0" fillId="11" borderId="2" xfId="0" applyFont="1" applyFill="1" applyBorder="1" applyAlignment="1">
      <alignment horizontal="left" wrapText="1"/>
    </xf>
    <xf numFmtId="164" fontId="0" fillId="12" borderId="2" xfId="0" applyFont="1" applyFill="1" applyBorder="1" applyAlignment="1">
      <alignment horizontal="center" vertical="center" wrapText="1"/>
    </xf>
    <xf numFmtId="164" fontId="0" fillId="12" borderId="0" xfId="0" applyFont="1" applyFill="1" applyAlignment="1">
      <alignment/>
    </xf>
    <xf numFmtId="164" fontId="0" fillId="13" borderId="2" xfId="0" applyFont="1" applyFill="1" applyBorder="1" applyAlignment="1">
      <alignment horizontal="center"/>
    </xf>
    <xf numFmtId="164" fontId="0" fillId="13" borderId="2" xfId="0" applyFont="1" applyFill="1" applyBorder="1" applyAlignment="1">
      <alignment horizontal="left" wrapText="1"/>
    </xf>
    <xf numFmtId="164" fontId="0" fillId="14" borderId="2" xfId="0" applyFont="1" applyFill="1" applyBorder="1" applyAlignment="1">
      <alignment horizontal="center" vertical="center" wrapText="1"/>
    </xf>
    <xf numFmtId="164" fontId="0" fillId="14" borderId="2" xfId="0" applyFont="1" applyFill="1" applyBorder="1" applyAlignment="1">
      <alignment horizontal="left" wrapText="1"/>
    </xf>
    <xf numFmtId="164" fontId="0" fillId="0" borderId="0" xfId="0" applyFont="1" applyAlignment="1">
      <alignment/>
    </xf>
    <xf numFmtId="164" fontId="14" fillId="15" borderId="2" xfId="0" applyFont="1" applyFill="1" applyBorder="1" applyAlignment="1">
      <alignment horizontal="center" vertical="center" wrapText="1"/>
    </xf>
    <xf numFmtId="164" fontId="0" fillId="16" borderId="2" xfId="0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8" fontId="0" fillId="0" borderId="3" xfId="0" applyNumberFormat="1" applyFont="1" applyBorder="1" applyAlignment="1">
      <alignment wrapText="1"/>
    </xf>
    <xf numFmtId="168" fontId="0" fillId="0" borderId="4" xfId="0" applyNumberFormat="1" applyFont="1" applyBorder="1" applyAlignment="1">
      <alignment wrapText="1"/>
    </xf>
    <xf numFmtId="168" fontId="0" fillId="0" borderId="5" xfId="0" applyNumberFormat="1" applyFont="1" applyBorder="1" applyAlignment="1">
      <alignment wrapText="1"/>
    </xf>
    <xf numFmtId="168" fontId="0" fillId="0" borderId="6" xfId="0" applyNumberFormat="1" applyFont="1" applyBorder="1" applyAlignment="1">
      <alignment horizontal="left" wrapText="1"/>
    </xf>
    <xf numFmtId="168" fontId="0" fillId="0" borderId="6" xfId="0" applyNumberFormat="1" applyFont="1" applyBorder="1" applyAlignment="1">
      <alignment horizontal="right" wrapText="1"/>
    </xf>
    <xf numFmtId="168" fontId="0" fillId="0" borderId="7" xfId="0" applyNumberFormat="1" applyFont="1" applyBorder="1" applyAlignment="1">
      <alignment wrapText="1"/>
    </xf>
    <xf numFmtId="168" fontId="0" fillId="0" borderId="8" xfId="0" applyNumberFormat="1" applyFont="1" applyBorder="1" applyAlignment="1">
      <alignment wrapText="1"/>
    </xf>
    <xf numFmtId="168" fontId="15" fillId="0" borderId="9" xfId="0" applyNumberFormat="1" applyFont="1" applyBorder="1" applyAlignment="1">
      <alignment wrapText="1"/>
    </xf>
    <xf numFmtId="168" fontId="15" fillId="0" borderId="6" xfId="0" applyNumberFormat="1" applyFont="1" applyBorder="1" applyAlignment="1">
      <alignment wrapText="1"/>
    </xf>
    <xf numFmtId="168" fontId="15" fillId="0" borderId="10" xfId="0" applyNumberFormat="1" applyFont="1" applyBorder="1" applyAlignment="1">
      <alignment wrapText="1"/>
    </xf>
    <xf numFmtId="168" fontId="16" fillId="0" borderId="9" xfId="0" applyNumberFormat="1" applyFont="1" applyBorder="1" applyAlignment="1">
      <alignment wrapText="1"/>
    </xf>
    <xf numFmtId="168" fontId="16" fillId="0" borderId="6" xfId="0" applyNumberFormat="1" applyFont="1" applyBorder="1" applyAlignment="1">
      <alignment wrapText="1"/>
    </xf>
    <xf numFmtId="168" fontId="16" fillId="0" borderId="10" xfId="0" applyNumberFormat="1" applyFont="1" applyBorder="1" applyAlignment="1">
      <alignment wrapText="1"/>
    </xf>
    <xf numFmtId="168" fontId="0" fillId="0" borderId="9" xfId="0" applyNumberFormat="1" applyFont="1" applyBorder="1" applyAlignment="1">
      <alignment wrapText="1"/>
    </xf>
    <xf numFmtId="168" fontId="0" fillId="0" borderId="6" xfId="0" applyNumberFormat="1" applyFont="1" applyBorder="1" applyAlignment="1">
      <alignment wrapText="1"/>
    </xf>
    <xf numFmtId="168" fontId="0" fillId="0" borderId="10" xfId="0" applyNumberFormat="1" applyFont="1" applyBorder="1" applyAlignment="1">
      <alignment wrapText="1"/>
    </xf>
    <xf numFmtId="168" fontId="0" fillId="0" borderId="10" xfId="0" applyNumberFormat="1" applyFont="1" applyBorder="1" applyAlignment="1">
      <alignment horizontal="center" wrapText="1"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8" fontId="0" fillId="16" borderId="12" xfId="0" applyNumberFormat="1" applyFont="1" applyFill="1" applyBorder="1" applyAlignment="1">
      <alignment horizontal="right" vertical="top" wrapText="1"/>
    </xf>
    <xf numFmtId="168" fontId="0" fillId="0" borderId="13" xfId="0" applyNumberFormat="1" applyFont="1" applyFill="1" applyBorder="1" applyAlignment="1">
      <alignment horizontal="right" vertical="top" wrapText="1"/>
    </xf>
    <xf numFmtId="168" fontId="18" fillId="0" borderId="14" xfId="0" applyNumberFormat="1" applyFont="1" applyBorder="1" applyAlignment="1">
      <alignment horizontal="center" wrapText="1"/>
    </xf>
    <xf numFmtId="168" fontId="19" fillId="0" borderId="11" xfId="0" applyNumberFormat="1" applyFont="1" applyBorder="1" applyAlignment="1">
      <alignment horizontal="center" wrapText="1"/>
    </xf>
    <xf numFmtId="168" fontId="19" fillId="0" borderId="15" xfId="0" applyNumberFormat="1" applyFont="1" applyBorder="1" applyAlignment="1">
      <alignment wrapText="1"/>
    </xf>
    <xf numFmtId="168" fontId="20" fillId="0" borderId="14" xfId="0" applyNumberFormat="1" applyFont="1" applyBorder="1" applyAlignment="1">
      <alignment horizontal="center" wrapText="1"/>
    </xf>
    <xf numFmtId="168" fontId="21" fillId="0" borderId="15" xfId="0" applyNumberFormat="1" applyFont="1" applyBorder="1" applyAlignment="1">
      <alignment horizontal="left" wrapText="1"/>
    </xf>
    <xf numFmtId="168" fontId="20" fillId="0" borderId="0" xfId="0" applyNumberFormat="1" applyFont="1" applyBorder="1" applyAlignment="1">
      <alignment wrapText="1"/>
    </xf>
    <xf numFmtId="168" fontId="20" fillId="0" borderId="0" xfId="0" applyNumberFormat="1" applyFont="1" applyBorder="1" applyAlignment="1">
      <alignment horizontal="left" wrapText="1"/>
    </xf>
    <xf numFmtId="168" fontId="20" fillId="0" borderId="0" xfId="0" applyNumberFormat="1" applyFont="1" applyBorder="1" applyAlignment="1">
      <alignment horizontal="center" wrapText="1"/>
    </xf>
    <xf numFmtId="168" fontId="20" fillId="0" borderId="16" xfId="0" applyNumberFormat="1" applyFont="1" applyBorder="1" applyAlignment="1">
      <alignment wrapText="1"/>
    </xf>
    <xf numFmtId="168" fontId="20" fillId="0" borderId="13" xfId="0" applyNumberFormat="1" applyFont="1" applyBorder="1" applyAlignment="1">
      <alignment wrapText="1"/>
    </xf>
    <xf numFmtId="168" fontId="18" fillId="0" borderId="17" xfId="0" applyNumberFormat="1" applyFont="1" applyBorder="1" applyAlignment="1">
      <alignment wrapText="1"/>
    </xf>
    <xf numFmtId="168" fontId="18" fillId="0" borderId="18" xfId="0" applyNumberFormat="1" applyFont="1" applyBorder="1" applyAlignment="1">
      <alignment wrapText="1"/>
    </xf>
    <xf numFmtId="168" fontId="18" fillId="0" borderId="15" xfId="0" applyNumberFormat="1" applyFont="1" applyBorder="1" applyAlignment="1">
      <alignment wrapText="1"/>
    </xf>
    <xf numFmtId="168" fontId="19" fillId="0" borderId="17" xfId="0" applyNumberFormat="1" applyFont="1" applyBorder="1" applyAlignment="1">
      <alignment wrapText="1"/>
    </xf>
    <xf numFmtId="168" fontId="19" fillId="0" borderId="19" xfId="0" applyNumberFormat="1" applyFont="1" applyBorder="1" applyAlignment="1">
      <alignment wrapText="1"/>
    </xf>
    <xf numFmtId="168" fontId="20" fillId="0" borderId="17" xfId="0" applyNumberFormat="1" applyFont="1" applyBorder="1" applyAlignment="1">
      <alignment wrapText="1"/>
    </xf>
    <xf numFmtId="168" fontId="20" fillId="0" borderId="19" xfId="0" applyNumberFormat="1" applyFont="1" applyBorder="1" applyAlignment="1">
      <alignment wrapText="1"/>
    </xf>
    <xf numFmtId="168" fontId="20" fillId="0" borderId="15" xfId="0" applyNumberFormat="1" applyFont="1" applyBorder="1" applyAlignment="1">
      <alignment wrapText="1"/>
    </xf>
    <xf numFmtId="168" fontId="0" fillId="9" borderId="20" xfId="0" applyNumberFormat="1" applyFont="1" applyFill="1" applyBorder="1" applyAlignment="1">
      <alignment horizontal="left" vertical="center" wrapText="1"/>
    </xf>
    <xf numFmtId="168" fontId="0" fillId="9" borderId="21" xfId="0" applyNumberFormat="1" applyFont="1" applyFill="1" applyBorder="1" applyAlignment="1">
      <alignment horizontal="left" vertical="center" wrapText="1"/>
    </xf>
    <xf numFmtId="168" fontId="0" fillId="9" borderId="22" xfId="0" applyNumberFormat="1" applyFont="1" applyFill="1" applyBorder="1" applyAlignment="1">
      <alignment vertical="center" wrapText="1"/>
    </xf>
    <xf numFmtId="168" fontId="0" fillId="9" borderId="23" xfId="0" applyNumberFormat="1" applyFont="1" applyFill="1" applyBorder="1" applyAlignment="1">
      <alignment horizontal="left" vertical="center" wrapText="1"/>
    </xf>
    <xf numFmtId="168" fontId="0" fillId="9" borderId="23" xfId="0" applyNumberFormat="1" applyFont="1" applyFill="1" applyBorder="1" applyAlignment="1">
      <alignment horizontal="right" vertical="center" wrapText="1"/>
    </xf>
    <xf numFmtId="168" fontId="0" fillId="9" borderId="24" xfId="0" applyNumberFormat="1" applyFont="1" applyFill="1" applyBorder="1" applyAlignment="1">
      <alignment horizontal="left" vertical="center" wrapText="1"/>
    </xf>
    <xf numFmtId="168" fontId="0" fillId="16" borderId="25" xfId="0" applyNumberFormat="1" applyFont="1" applyFill="1" applyBorder="1" applyAlignment="1">
      <alignment vertical="center" wrapText="1"/>
    </xf>
    <xf numFmtId="168" fontId="15" fillId="9" borderId="26" xfId="0" applyNumberFormat="1" applyFont="1" applyFill="1" applyBorder="1" applyAlignment="1">
      <alignment horizontal="left" vertical="center" wrapText="1"/>
    </xf>
    <xf numFmtId="168" fontId="15" fillId="9" borderId="23" xfId="0" applyNumberFormat="1" applyFont="1" applyFill="1" applyBorder="1" applyAlignment="1">
      <alignment horizontal="left" vertical="center" wrapText="1"/>
    </xf>
    <xf numFmtId="168" fontId="15" fillId="9" borderId="27" xfId="0" applyNumberFormat="1" applyFont="1" applyFill="1" applyBorder="1" applyAlignment="1">
      <alignment horizontal="left" vertical="center" wrapText="1"/>
    </xf>
    <xf numFmtId="168" fontId="16" fillId="9" borderId="28" xfId="0" applyNumberFormat="1" applyFont="1" applyFill="1" applyBorder="1" applyAlignment="1">
      <alignment horizontal="left" vertical="center" wrapText="1"/>
    </xf>
    <xf numFmtId="168" fontId="16" fillId="9" borderId="23" xfId="0" applyNumberFormat="1" applyFont="1" applyFill="1" applyBorder="1" applyAlignment="1">
      <alignment horizontal="left" vertical="center" wrapText="1"/>
    </xf>
    <xf numFmtId="168" fontId="16" fillId="9" borderId="22" xfId="0" applyNumberFormat="1" applyFont="1" applyFill="1" applyBorder="1" applyAlignment="1">
      <alignment horizontal="left" vertical="center" wrapText="1"/>
    </xf>
    <xf numFmtId="168" fontId="0" fillId="9" borderId="26" xfId="0" applyNumberFormat="1" applyFont="1" applyFill="1" applyBorder="1" applyAlignment="1">
      <alignment horizontal="left" vertical="center" wrapText="1"/>
    </xf>
    <xf numFmtId="168" fontId="0" fillId="9" borderId="27" xfId="0" applyNumberFormat="1" applyFont="1" applyFill="1" applyBorder="1" applyAlignment="1">
      <alignment horizontal="left" vertical="center" wrapText="1"/>
    </xf>
    <xf numFmtId="168" fontId="20" fillId="9" borderId="27" xfId="0" applyNumberFormat="1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0" fillId="9" borderId="3" xfId="0" applyNumberFormat="1" applyFont="1" applyFill="1" applyBorder="1" applyAlignment="1">
      <alignment horizontal="left" vertical="center" wrapText="1"/>
    </xf>
    <xf numFmtId="168" fontId="0" fillId="9" borderId="4" xfId="0" applyNumberFormat="1" applyFont="1" applyFill="1" applyBorder="1" applyAlignment="1">
      <alignment horizontal="left" vertical="center" wrapText="1"/>
    </xf>
    <xf numFmtId="168" fontId="0" fillId="9" borderId="5" xfId="0" applyNumberFormat="1" applyFont="1" applyFill="1" applyBorder="1" applyAlignment="1">
      <alignment vertical="center" wrapText="1"/>
    </xf>
    <xf numFmtId="168" fontId="0" fillId="9" borderId="6" xfId="0" applyNumberFormat="1" applyFont="1" applyFill="1" applyBorder="1" applyAlignment="1">
      <alignment horizontal="left" vertical="center" wrapText="1"/>
    </xf>
    <xf numFmtId="168" fontId="0" fillId="9" borderId="6" xfId="0" applyNumberFormat="1" applyFont="1" applyFill="1" applyBorder="1" applyAlignment="1">
      <alignment horizontal="right" vertical="center" wrapText="1"/>
    </xf>
    <xf numFmtId="168" fontId="0" fillId="9" borderId="7" xfId="0" applyNumberFormat="1" applyFont="1" applyFill="1" applyBorder="1" applyAlignment="1">
      <alignment horizontal="left" vertical="center" wrapText="1"/>
    </xf>
    <xf numFmtId="168" fontId="0" fillId="9" borderId="8" xfId="0" applyNumberFormat="1" applyFont="1" applyFill="1" applyBorder="1" applyAlignment="1">
      <alignment vertical="center" wrapText="1"/>
    </xf>
    <xf numFmtId="168" fontId="15" fillId="9" borderId="9" xfId="0" applyNumberFormat="1" applyFont="1" applyFill="1" applyBorder="1" applyAlignment="1">
      <alignment horizontal="left" vertical="center" wrapText="1"/>
    </xf>
    <xf numFmtId="168" fontId="15" fillId="9" borderId="6" xfId="0" applyNumberFormat="1" applyFont="1" applyFill="1" applyBorder="1" applyAlignment="1">
      <alignment horizontal="left" vertical="center" wrapText="1"/>
    </xf>
    <xf numFmtId="168" fontId="15" fillId="9" borderId="10" xfId="0" applyNumberFormat="1" applyFont="1" applyFill="1" applyBorder="1" applyAlignment="1">
      <alignment horizontal="left" vertical="center" wrapText="1"/>
    </xf>
    <xf numFmtId="168" fontId="16" fillId="9" borderId="29" xfId="0" applyNumberFormat="1" applyFont="1" applyFill="1" applyBorder="1" applyAlignment="1">
      <alignment horizontal="left" vertical="center" wrapText="1"/>
    </xf>
    <xf numFmtId="168" fontId="16" fillId="9" borderId="6" xfId="0" applyNumberFormat="1" applyFont="1" applyFill="1" applyBorder="1" applyAlignment="1">
      <alignment horizontal="left" vertical="center" wrapText="1"/>
    </xf>
    <xf numFmtId="168" fontId="16" fillId="9" borderId="5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/>
    </xf>
    <xf numFmtId="168" fontId="0" fillId="9" borderId="5" xfId="0" applyNumberFormat="1" applyFont="1" applyFill="1" applyBorder="1" applyAlignment="1">
      <alignment horizontal="left" vertical="center" wrapText="1"/>
    </xf>
    <xf numFmtId="168" fontId="0" fillId="9" borderId="8" xfId="0" applyNumberFormat="1" applyFont="1" applyFill="1" applyBorder="1" applyAlignment="1">
      <alignment horizontal="left" vertical="center" wrapText="1"/>
    </xf>
    <xf numFmtId="168" fontId="22" fillId="9" borderId="6" xfId="0" applyNumberFormat="1" applyFont="1" applyFill="1" applyBorder="1" applyAlignment="1">
      <alignment horizontal="left" vertical="center" wrapText="1"/>
    </xf>
    <xf numFmtId="168" fontId="0" fillId="9" borderId="9" xfId="0" applyNumberFormat="1" applyFont="1" applyFill="1" applyBorder="1" applyAlignment="1">
      <alignment horizontal="left" vertical="center" wrapText="1"/>
    </xf>
    <xf numFmtId="168" fontId="0" fillId="9" borderId="10" xfId="0" applyNumberFormat="1" applyFont="1" applyFill="1" applyBorder="1" applyAlignment="1">
      <alignment horizontal="left" vertical="center" wrapText="1"/>
    </xf>
    <xf numFmtId="168" fontId="0" fillId="9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/>
    </xf>
    <xf numFmtId="168" fontId="0" fillId="9" borderId="29" xfId="0" applyNumberFormat="1" applyFont="1" applyFill="1" applyBorder="1" applyAlignment="1">
      <alignment horizontal="left" vertical="center" wrapText="1"/>
    </xf>
    <xf numFmtId="168" fontId="0" fillId="9" borderId="6" xfId="0" applyNumberFormat="1" applyFont="1" applyFill="1" applyBorder="1" applyAlignment="1">
      <alignment vertical="center" wrapText="1"/>
    </xf>
    <xf numFmtId="168" fontId="0" fillId="9" borderId="10" xfId="0" applyNumberFormat="1" applyFont="1" applyFill="1" applyBorder="1" applyAlignment="1">
      <alignment vertical="center" wrapText="1"/>
    </xf>
    <xf numFmtId="168" fontId="16" fillId="9" borderId="9" xfId="0" applyNumberFormat="1" applyFont="1" applyFill="1" applyBorder="1" applyAlignment="1">
      <alignment horizontal="left" vertical="center" wrapText="1"/>
    </xf>
    <xf numFmtId="168" fontId="23" fillId="9" borderId="9" xfId="0" applyNumberFormat="1" applyFont="1" applyFill="1" applyBorder="1" applyAlignment="1">
      <alignment horizontal="left" vertical="center" wrapText="1"/>
    </xf>
    <xf numFmtId="168" fontId="23" fillId="9" borderId="6" xfId="0" applyNumberFormat="1" applyFont="1" applyFill="1" applyBorder="1" applyAlignment="1">
      <alignment horizontal="left" vertical="center" wrapText="1"/>
    </xf>
    <xf numFmtId="168" fontId="16" fillId="9" borderId="10" xfId="0" applyNumberFormat="1" applyFont="1" applyFill="1" applyBorder="1" applyAlignment="1">
      <alignment horizontal="left" vertical="center" wrapText="1"/>
    </xf>
    <xf numFmtId="168" fontId="23" fillId="9" borderId="10" xfId="0" applyNumberFormat="1" applyFont="1" applyFill="1" applyBorder="1" applyAlignment="1">
      <alignment horizontal="left" vertical="center" wrapText="1"/>
    </xf>
    <xf numFmtId="168" fontId="20" fillId="9" borderId="10" xfId="0" applyNumberFormat="1" applyFont="1" applyFill="1" applyBorder="1" applyAlignment="1">
      <alignment horizontal="center" vertical="center" wrapText="1"/>
    </xf>
    <xf numFmtId="168" fontId="0" fillId="9" borderId="30" xfId="0" applyNumberFormat="1" applyFont="1" applyFill="1" applyBorder="1" applyAlignment="1">
      <alignment horizontal="left" vertical="center" wrapText="1"/>
    </xf>
    <xf numFmtId="168" fontId="15" fillId="16" borderId="9" xfId="0" applyNumberFormat="1" applyFont="1" applyFill="1" applyBorder="1" applyAlignment="1">
      <alignment horizontal="left" vertical="center" wrapText="1"/>
    </xf>
    <xf numFmtId="168" fontId="15" fillId="16" borderId="6" xfId="0" applyNumberFormat="1" applyFont="1" applyFill="1" applyBorder="1" applyAlignment="1">
      <alignment horizontal="left" vertical="center" wrapText="1"/>
    </xf>
    <xf numFmtId="168" fontId="15" fillId="16" borderId="10" xfId="0" applyNumberFormat="1" applyFont="1" applyFill="1" applyBorder="1" applyAlignment="1">
      <alignment horizontal="left" vertical="center" wrapText="1"/>
    </xf>
    <xf numFmtId="168" fontId="15" fillId="9" borderId="29" xfId="0" applyNumberFormat="1" applyFont="1" applyFill="1" applyBorder="1" applyAlignment="1">
      <alignment horizontal="left" vertical="center" wrapText="1"/>
    </xf>
    <xf numFmtId="168" fontId="15" fillId="9" borderId="31" xfId="0" applyNumberFormat="1" applyFont="1" applyFill="1" applyBorder="1" applyAlignment="1">
      <alignment horizontal="left" vertical="center" wrapText="1"/>
    </xf>
    <xf numFmtId="168" fontId="0" fillId="10" borderId="3" xfId="0" applyNumberFormat="1" applyFont="1" applyFill="1" applyBorder="1" applyAlignment="1">
      <alignment horizontal="left" vertical="center" wrapText="1"/>
    </xf>
    <xf numFmtId="168" fontId="0" fillId="10" borderId="4" xfId="0" applyNumberFormat="1" applyFont="1" applyFill="1" applyBorder="1" applyAlignment="1">
      <alignment horizontal="left" vertical="center" wrapText="1"/>
    </xf>
    <xf numFmtId="168" fontId="0" fillId="10" borderId="5" xfId="0" applyNumberFormat="1" applyFont="1" applyFill="1" applyBorder="1" applyAlignment="1">
      <alignment horizontal="left" vertical="center" wrapText="1"/>
    </xf>
    <xf numFmtId="168" fontId="0" fillId="10" borderId="6" xfId="0" applyNumberFormat="1" applyFont="1" applyFill="1" applyBorder="1" applyAlignment="1">
      <alignment horizontal="left" vertical="center" wrapText="1"/>
    </xf>
    <xf numFmtId="168" fontId="0" fillId="10" borderId="6" xfId="0" applyNumberFormat="1" applyFont="1" applyFill="1" applyBorder="1" applyAlignment="1">
      <alignment horizontal="right" vertical="center" wrapText="1"/>
    </xf>
    <xf numFmtId="168" fontId="0" fillId="10" borderId="7" xfId="0" applyNumberFormat="1" applyFont="1" applyFill="1" applyBorder="1" applyAlignment="1">
      <alignment horizontal="left" vertical="center" wrapText="1"/>
    </xf>
    <xf numFmtId="168" fontId="0" fillId="10" borderId="8" xfId="0" applyNumberFormat="1" applyFont="1" applyFill="1" applyBorder="1" applyAlignment="1">
      <alignment horizontal="left" vertical="center" wrapText="1"/>
    </xf>
    <xf numFmtId="168" fontId="15" fillId="10" borderId="9" xfId="0" applyNumberFormat="1" applyFont="1" applyFill="1" applyBorder="1" applyAlignment="1">
      <alignment horizontal="left" vertical="center" wrapText="1"/>
    </xf>
    <xf numFmtId="168" fontId="15" fillId="10" borderId="6" xfId="0" applyNumberFormat="1" applyFont="1" applyFill="1" applyBorder="1" applyAlignment="1">
      <alignment horizontal="left" vertical="center" wrapText="1"/>
    </xf>
    <xf numFmtId="168" fontId="15" fillId="10" borderId="10" xfId="0" applyNumberFormat="1" applyFont="1" applyFill="1" applyBorder="1" applyAlignment="1">
      <alignment horizontal="left" vertical="center" wrapText="1"/>
    </xf>
    <xf numFmtId="168" fontId="0" fillId="10" borderId="9" xfId="0" applyNumberFormat="1" applyFont="1" applyFill="1" applyBorder="1" applyAlignment="1">
      <alignment horizontal="left" vertical="center" wrapText="1"/>
    </xf>
    <xf numFmtId="168" fontId="0" fillId="10" borderId="10" xfId="0" applyNumberFormat="1" applyFont="1" applyFill="1" applyBorder="1" applyAlignment="1">
      <alignment horizontal="left" vertical="center" wrapText="1"/>
    </xf>
    <xf numFmtId="168" fontId="0" fillId="10" borderId="10" xfId="0" applyNumberFormat="1" applyFont="1" applyFill="1" applyBorder="1" applyAlignment="1">
      <alignment horizontal="center" vertical="center" wrapText="1"/>
    </xf>
    <xf numFmtId="168" fontId="23" fillId="9" borderId="32" xfId="0" applyNumberFormat="1" applyFont="1" applyFill="1" applyBorder="1" applyAlignment="1">
      <alignment horizontal="left" vertical="center" wrapText="1"/>
    </xf>
    <xf numFmtId="168" fontId="15" fillId="9" borderId="33" xfId="0" applyNumberFormat="1" applyFont="1" applyFill="1" applyBorder="1" applyAlignment="1">
      <alignment horizontal="left" vertical="center" wrapText="1"/>
    </xf>
    <xf numFmtId="168" fontId="0" fillId="0" borderId="11" xfId="0" applyNumberFormat="1" applyFill="1" applyBorder="1" applyAlignment="1">
      <alignment/>
    </xf>
    <xf numFmtId="168" fontId="23" fillId="9" borderId="33" xfId="0" applyNumberFormat="1" applyFont="1" applyFill="1" applyBorder="1" applyAlignment="1">
      <alignment horizontal="left" vertical="center" wrapText="1"/>
    </xf>
    <xf numFmtId="168" fontId="23" fillId="9" borderId="29" xfId="0" applyNumberFormat="1" applyFont="1" applyFill="1" applyBorder="1" applyAlignment="1">
      <alignment horizontal="left" vertical="center" wrapText="1"/>
    </xf>
    <xf numFmtId="168" fontId="23" fillId="9" borderId="34" xfId="0" applyNumberFormat="1" applyFont="1" applyFill="1" applyBorder="1" applyAlignment="1">
      <alignment horizontal="left" vertical="center" wrapText="1"/>
    </xf>
    <xf numFmtId="168" fontId="23" fillId="9" borderId="35" xfId="0" applyNumberFormat="1" applyFont="1" applyFill="1" applyBorder="1" applyAlignment="1">
      <alignment horizontal="center" vertical="center" wrapText="1"/>
    </xf>
    <xf numFmtId="168" fontId="23" fillId="9" borderId="36" xfId="0" applyNumberFormat="1" applyFont="1" applyFill="1" applyBorder="1" applyAlignment="1">
      <alignment horizontal="left" vertical="center" wrapText="1"/>
    </xf>
    <xf numFmtId="168" fontId="23" fillId="9" borderId="37" xfId="0" applyNumberFormat="1" applyFont="1" applyFill="1" applyBorder="1" applyAlignment="1">
      <alignment horizontal="left" vertical="center" wrapText="1"/>
    </xf>
    <xf numFmtId="168" fontId="20" fillId="0" borderId="11" xfId="0" applyNumberFormat="1" applyFont="1" applyFill="1" applyBorder="1" applyAlignment="1">
      <alignment/>
    </xf>
    <xf numFmtId="168" fontId="20" fillId="0" borderId="0" xfId="0" applyNumberFormat="1" applyFont="1" applyFill="1" applyAlignment="1">
      <alignment/>
    </xf>
    <xf numFmtId="168" fontId="15" fillId="16" borderId="29" xfId="0" applyNumberFormat="1" applyFont="1" applyFill="1" applyBorder="1" applyAlignment="1">
      <alignment horizontal="left" vertical="center" wrapText="1"/>
    </xf>
    <xf numFmtId="168" fontId="16" fillId="10" borderId="9" xfId="0" applyNumberFormat="1" applyFont="1" applyFill="1" applyBorder="1" applyAlignment="1">
      <alignment vertical="center" wrapText="1"/>
    </xf>
    <xf numFmtId="168" fontId="16" fillId="10" borderId="6" xfId="0" applyNumberFormat="1" applyFont="1" applyFill="1" applyBorder="1" applyAlignment="1">
      <alignment horizontal="left" vertical="center" wrapText="1"/>
    </xf>
    <xf numFmtId="168" fontId="16" fillId="10" borderId="10" xfId="0" applyNumberFormat="1" applyFont="1" applyFill="1" applyBorder="1" applyAlignment="1">
      <alignment horizontal="left" vertical="center" wrapText="1"/>
    </xf>
    <xf numFmtId="168" fontId="0" fillId="16" borderId="9" xfId="0" applyNumberFormat="1" applyFont="1" applyFill="1" applyBorder="1" applyAlignment="1">
      <alignment horizontal="left" vertical="center" wrapText="1"/>
    </xf>
    <xf numFmtId="168" fontId="0" fillId="16" borderId="6" xfId="0" applyNumberFormat="1" applyFont="1" applyFill="1" applyBorder="1" applyAlignment="1">
      <alignment horizontal="left" vertical="center" wrapText="1"/>
    </xf>
    <xf numFmtId="168" fontId="0" fillId="9" borderId="0" xfId="0" applyNumberFormat="1" applyFill="1" applyAlignment="1">
      <alignment vertical="center" wrapText="1"/>
    </xf>
    <xf numFmtId="168" fontId="0" fillId="9" borderId="31" xfId="0" applyNumberFormat="1" applyFont="1" applyFill="1" applyBorder="1" applyAlignment="1">
      <alignment horizontal="left" vertical="center" wrapText="1"/>
    </xf>
    <xf numFmtId="168" fontId="0" fillId="9" borderId="35" xfId="0" applyNumberFormat="1" applyFont="1" applyFill="1" applyBorder="1" applyAlignment="1">
      <alignment horizontal="center" vertical="center" wrapText="1"/>
    </xf>
    <xf numFmtId="168" fontId="16" fillId="9" borderId="9" xfId="0" applyNumberFormat="1" applyFont="1" applyFill="1" applyBorder="1" applyAlignment="1">
      <alignment vertical="center" wrapText="1"/>
    </xf>
    <xf numFmtId="168" fontId="16" fillId="9" borderId="6" xfId="0" applyNumberFormat="1" applyFont="1" applyFill="1" applyBorder="1" applyAlignment="1">
      <alignment vertical="center" wrapText="1"/>
    </xf>
    <xf numFmtId="168" fontId="23" fillId="9" borderId="7" xfId="0" applyNumberFormat="1" applyFont="1" applyFill="1" applyBorder="1" applyAlignment="1">
      <alignment horizontal="left" vertical="center" wrapText="1"/>
    </xf>
    <xf numFmtId="168" fontId="23" fillId="9" borderId="8" xfId="0" applyNumberFormat="1" applyFont="1" applyFill="1" applyBorder="1" applyAlignment="1">
      <alignment horizontal="left" vertical="center" wrapText="1"/>
    </xf>
    <xf numFmtId="168" fontId="24" fillId="10" borderId="7" xfId="0" applyNumberFormat="1" applyFont="1" applyFill="1" applyBorder="1" applyAlignment="1">
      <alignment horizontal="left" vertical="center" wrapText="1"/>
    </xf>
    <xf numFmtId="168" fontId="23" fillId="10" borderId="8" xfId="0" applyNumberFormat="1" applyFont="1" applyFill="1" applyBorder="1" applyAlignment="1">
      <alignment horizontal="left" vertical="center" wrapText="1"/>
    </xf>
    <xf numFmtId="168" fontId="16" fillId="10" borderId="9" xfId="0" applyNumberFormat="1" applyFont="1" applyFill="1" applyBorder="1" applyAlignment="1">
      <alignment horizontal="left" vertical="center" wrapText="1"/>
    </xf>
    <xf numFmtId="168" fontId="0" fillId="10" borderId="7" xfId="0" applyNumberFormat="1" applyFont="1" applyFill="1" applyBorder="1" applyAlignment="1">
      <alignment vertical="center" wrapText="1"/>
    </xf>
    <xf numFmtId="168" fontId="0" fillId="10" borderId="8" xfId="0" applyNumberFormat="1" applyFont="1" applyFill="1" applyBorder="1" applyAlignment="1">
      <alignment vertical="center" wrapText="1"/>
    </xf>
    <xf numFmtId="168" fontId="15" fillId="10" borderId="29" xfId="0" applyNumberFormat="1" applyFont="1" applyFill="1" applyBorder="1" applyAlignment="1">
      <alignment vertical="center" wrapText="1"/>
    </xf>
    <xf numFmtId="168" fontId="15" fillId="10" borderId="6" xfId="0" applyNumberFormat="1" applyFont="1" applyFill="1" applyBorder="1" applyAlignment="1">
      <alignment vertical="center" wrapText="1"/>
    </xf>
    <xf numFmtId="168" fontId="15" fillId="10" borderId="10" xfId="0" applyNumberFormat="1" applyFont="1" applyFill="1" applyBorder="1" applyAlignment="1">
      <alignment vertical="center" wrapText="1"/>
    </xf>
    <xf numFmtId="168" fontId="16" fillId="10" borderId="6" xfId="0" applyNumberFormat="1" applyFont="1" applyFill="1" applyBorder="1" applyAlignment="1">
      <alignment vertical="center" wrapText="1"/>
    </xf>
    <xf numFmtId="168" fontId="16" fillId="10" borderId="10" xfId="0" applyNumberFormat="1" applyFont="1" applyFill="1" applyBorder="1" applyAlignment="1">
      <alignment vertical="center" wrapText="1"/>
    </xf>
    <xf numFmtId="168" fontId="0" fillId="10" borderId="9" xfId="0" applyNumberFormat="1" applyFont="1" applyFill="1" applyBorder="1" applyAlignment="1">
      <alignment vertical="center" wrapText="1"/>
    </xf>
    <xf numFmtId="168" fontId="0" fillId="10" borderId="6" xfId="0" applyNumberFormat="1" applyFont="1" applyFill="1" applyBorder="1" applyAlignment="1">
      <alignment vertical="center" wrapText="1"/>
    </xf>
    <xf numFmtId="168" fontId="0" fillId="10" borderId="10" xfId="0" applyNumberFormat="1" applyFont="1" applyFill="1" applyBorder="1" applyAlignment="1">
      <alignment vertical="center" wrapText="1"/>
    </xf>
    <xf numFmtId="168" fontId="23" fillId="9" borderId="3" xfId="0" applyNumberFormat="1" applyFont="1" applyFill="1" applyBorder="1" applyAlignment="1">
      <alignment horizontal="left" vertical="center" wrapText="1"/>
    </xf>
    <xf numFmtId="168" fontId="23" fillId="9" borderId="4" xfId="0" applyNumberFormat="1" applyFont="1" applyFill="1" applyBorder="1" applyAlignment="1">
      <alignment horizontal="left" vertical="center" wrapText="1"/>
    </xf>
    <xf numFmtId="168" fontId="23" fillId="9" borderId="5" xfId="0" applyNumberFormat="1" applyFont="1" applyFill="1" applyBorder="1" applyAlignment="1">
      <alignment horizontal="left" vertical="center" wrapText="1"/>
    </xf>
    <xf numFmtId="168" fontId="23" fillId="9" borderId="6" xfId="0" applyNumberFormat="1" applyFont="1" applyFill="1" applyBorder="1" applyAlignment="1">
      <alignment horizontal="right" vertical="center" wrapText="1"/>
    </xf>
    <xf numFmtId="168" fontId="23" fillId="9" borderId="7" xfId="0" applyNumberFormat="1" applyFont="1" applyFill="1" applyBorder="1" applyAlignment="1">
      <alignment vertical="center" wrapText="1"/>
    </xf>
    <xf numFmtId="168" fontId="23" fillId="9" borderId="8" xfId="0" applyNumberFormat="1" applyFont="1" applyFill="1" applyBorder="1" applyAlignment="1">
      <alignment vertical="center" wrapText="1"/>
    </xf>
    <xf numFmtId="168" fontId="23" fillId="9" borderId="29" xfId="0" applyNumberFormat="1" applyFont="1" applyFill="1" applyBorder="1" applyAlignment="1">
      <alignment vertical="center" wrapText="1"/>
    </xf>
    <xf numFmtId="168" fontId="23" fillId="9" borderId="6" xfId="0" applyNumberFormat="1" applyFont="1" applyFill="1" applyBorder="1" applyAlignment="1">
      <alignment vertical="center" wrapText="1"/>
    </xf>
    <xf numFmtId="168" fontId="23" fillId="9" borderId="10" xfId="0" applyNumberFormat="1" applyFont="1" applyFill="1" applyBorder="1" applyAlignment="1">
      <alignment vertical="center" wrapText="1"/>
    </xf>
    <xf numFmtId="168" fontId="23" fillId="9" borderId="9" xfId="0" applyNumberFormat="1" applyFont="1" applyFill="1" applyBorder="1" applyAlignment="1">
      <alignment vertical="center" wrapText="1"/>
    </xf>
    <xf numFmtId="168" fontId="23" fillId="9" borderId="10" xfId="0" applyNumberFormat="1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/>
    </xf>
    <xf numFmtId="168" fontId="23" fillId="0" borderId="0" xfId="0" applyNumberFormat="1" applyFont="1" applyFill="1" applyAlignment="1">
      <alignment/>
    </xf>
    <xf numFmtId="168" fontId="0" fillId="10" borderId="8" xfId="0" applyNumberFormat="1" applyFont="1" applyFill="1" applyBorder="1" applyAlignment="1">
      <alignment horizontal="center" vertical="center" wrapText="1"/>
    </xf>
    <xf numFmtId="168" fontId="16" fillId="9" borderId="38" xfId="0" applyNumberFormat="1" applyFont="1" applyFill="1" applyBorder="1" applyAlignment="1">
      <alignment horizontal="left" vertical="center" wrapText="1"/>
    </xf>
    <xf numFmtId="168" fontId="16" fillId="9" borderId="39" xfId="0" applyNumberFormat="1" applyFont="1" applyFill="1" applyBorder="1" applyAlignment="1">
      <alignment vertical="center" wrapText="1"/>
    </xf>
    <xf numFmtId="168" fontId="0" fillId="10" borderId="30" xfId="0" applyNumberFormat="1" applyFont="1" applyFill="1" applyBorder="1" applyAlignment="1">
      <alignment horizontal="left" vertical="center" wrapText="1"/>
    </xf>
    <xf numFmtId="168" fontId="15" fillId="10" borderId="29" xfId="0" applyNumberFormat="1" applyFont="1" applyFill="1" applyBorder="1" applyAlignment="1">
      <alignment horizontal="left" vertical="center" wrapText="1"/>
    </xf>
    <xf numFmtId="168" fontId="15" fillId="10" borderId="12" xfId="0" applyNumberFormat="1" applyFont="1" applyFill="1" applyBorder="1" applyAlignment="1">
      <alignment horizontal="left" vertical="center" wrapText="1"/>
    </xf>
    <xf numFmtId="168" fontId="0" fillId="10" borderId="29" xfId="0" applyNumberFormat="1" applyFont="1" applyFill="1" applyBorder="1" applyAlignment="1">
      <alignment horizontal="left" vertical="center" wrapText="1"/>
    </xf>
    <xf numFmtId="168" fontId="0" fillId="10" borderId="31" xfId="0" applyNumberFormat="1" applyFont="1" applyFill="1" applyBorder="1" applyAlignment="1">
      <alignment horizontal="left" vertical="center" wrapText="1"/>
    </xf>
    <xf numFmtId="168" fontId="0" fillId="10" borderId="35" xfId="0" applyNumberFormat="1" applyFont="1" applyFill="1" applyBorder="1" applyAlignment="1">
      <alignment horizontal="center" vertical="center" wrapText="1"/>
    </xf>
    <xf numFmtId="168" fontId="0" fillId="9" borderId="3" xfId="0" applyNumberFormat="1" applyFont="1" applyFill="1" applyBorder="1" applyAlignment="1">
      <alignment vertical="center" wrapText="1"/>
    </xf>
    <xf numFmtId="168" fontId="0" fillId="9" borderId="7" xfId="0" applyNumberFormat="1" applyFont="1" applyFill="1" applyBorder="1" applyAlignment="1">
      <alignment vertical="center" wrapText="1"/>
    </xf>
    <xf numFmtId="168" fontId="15" fillId="9" borderId="3" xfId="0" applyNumberFormat="1" applyFont="1" applyFill="1" applyBorder="1" applyAlignment="1">
      <alignment horizontal="left" vertical="center" wrapText="1"/>
    </xf>
    <xf numFmtId="168" fontId="16" fillId="9" borderId="10" xfId="0" applyNumberFormat="1" applyFont="1" applyFill="1" applyBorder="1" applyAlignment="1">
      <alignment vertical="center" wrapText="1"/>
    </xf>
    <xf numFmtId="168" fontId="0" fillId="9" borderId="9" xfId="0" applyNumberFormat="1" applyFont="1" applyFill="1" applyBorder="1" applyAlignment="1">
      <alignment vertical="center" wrapText="1"/>
    </xf>
    <xf numFmtId="168" fontId="20" fillId="10" borderId="8" xfId="0" applyNumberFormat="1" applyFont="1" applyFill="1" applyBorder="1" applyAlignment="1">
      <alignment horizontal="left" vertical="center" wrapText="1"/>
    </xf>
    <xf numFmtId="168" fontId="0" fillId="9" borderId="39" xfId="0" applyNumberFormat="1" applyFont="1" applyFill="1" applyBorder="1" applyAlignment="1">
      <alignment horizontal="left" vertical="center" wrapText="1"/>
    </xf>
    <xf numFmtId="168" fontId="0" fillId="9" borderId="40" xfId="0" applyNumberFormat="1" applyFont="1" applyFill="1" applyBorder="1" applyAlignment="1">
      <alignment horizontal="left" vertical="center" wrapText="1"/>
    </xf>
    <xf numFmtId="168" fontId="0" fillId="9" borderId="40" xfId="0" applyNumberFormat="1" applyFont="1" applyFill="1" applyBorder="1" applyAlignment="1">
      <alignment horizontal="right" vertical="center" wrapText="1"/>
    </xf>
    <xf numFmtId="168" fontId="0" fillId="9" borderId="41" xfId="0" applyNumberFormat="1" applyFont="1" applyFill="1" applyBorder="1" applyAlignment="1">
      <alignment horizontal="left" vertical="center" wrapText="1"/>
    </xf>
    <xf numFmtId="168" fontId="0" fillId="9" borderId="42" xfId="0" applyNumberFormat="1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15" fillId="9" borderId="9" xfId="0" applyNumberFormat="1" applyFont="1" applyFill="1" applyBorder="1" applyAlignment="1">
      <alignment horizontal="center" vertical="center" wrapText="1"/>
    </xf>
    <xf numFmtId="168" fontId="22" fillId="9" borderId="6" xfId="0" applyNumberFormat="1" applyFont="1" applyFill="1" applyBorder="1" applyAlignment="1">
      <alignment horizontal="center" vertical="center" wrapText="1"/>
    </xf>
    <xf numFmtId="168" fontId="15" fillId="9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168" fontId="20" fillId="9" borderId="8" xfId="0" applyNumberFormat="1" applyFont="1" applyFill="1" applyBorder="1" applyAlignment="1">
      <alignment horizontal="left" vertical="center" wrapText="1"/>
    </xf>
    <xf numFmtId="168" fontId="14" fillId="15" borderId="3" xfId="0" applyNumberFormat="1" applyFont="1" applyFill="1" applyBorder="1" applyAlignment="1">
      <alignment horizontal="left" vertical="center" wrapText="1"/>
    </xf>
    <xf numFmtId="168" fontId="14" fillId="15" borderId="4" xfId="0" applyNumberFormat="1" applyFont="1" applyFill="1" applyBorder="1" applyAlignment="1">
      <alignment horizontal="left" vertical="center" wrapText="1"/>
    </xf>
    <xf numFmtId="168" fontId="14" fillId="15" borderId="5" xfId="0" applyNumberFormat="1" applyFont="1" applyFill="1" applyBorder="1" applyAlignment="1">
      <alignment horizontal="left" vertical="center" wrapText="1"/>
    </xf>
    <xf numFmtId="168" fontId="14" fillId="15" borderId="6" xfId="0" applyNumberFormat="1" applyFont="1" applyFill="1" applyBorder="1" applyAlignment="1">
      <alignment horizontal="left" vertical="center" wrapText="1"/>
    </xf>
    <xf numFmtId="168" fontId="14" fillId="15" borderId="6" xfId="0" applyNumberFormat="1" applyFont="1" applyFill="1" applyBorder="1" applyAlignment="1">
      <alignment horizontal="right" vertical="center" wrapText="1"/>
    </xf>
    <xf numFmtId="168" fontId="14" fillId="15" borderId="7" xfId="0" applyNumberFormat="1" applyFont="1" applyFill="1" applyBorder="1" applyAlignment="1">
      <alignment horizontal="left" vertical="center" wrapText="1"/>
    </xf>
    <xf numFmtId="168" fontId="14" fillId="15" borderId="8" xfId="0" applyNumberFormat="1" applyFont="1" applyFill="1" applyBorder="1" applyAlignment="1">
      <alignment horizontal="left" vertical="center" wrapText="1"/>
    </xf>
    <xf numFmtId="168" fontId="14" fillId="15" borderId="29" xfId="0" applyNumberFormat="1" applyFont="1" applyFill="1" applyBorder="1" applyAlignment="1">
      <alignment horizontal="left" vertical="center" wrapText="1"/>
    </xf>
    <xf numFmtId="168" fontId="14" fillId="15" borderId="10" xfId="0" applyNumberFormat="1" applyFont="1" applyFill="1" applyBorder="1" applyAlignment="1">
      <alignment horizontal="left" vertical="center" wrapText="1"/>
    </xf>
    <xf numFmtId="168" fontId="14" fillId="15" borderId="9" xfId="0" applyNumberFormat="1" applyFont="1" applyFill="1" applyBorder="1" applyAlignment="1">
      <alignment vertical="center" wrapText="1"/>
    </xf>
    <xf numFmtId="168" fontId="14" fillId="15" borderId="9" xfId="0" applyNumberFormat="1" applyFont="1" applyFill="1" applyBorder="1" applyAlignment="1">
      <alignment horizontal="left" vertical="center" wrapText="1"/>
    </xf>
    <xf numFmtId="168" fontId="14" fillId="15" borderId="10" xfId="0" applyNumberFormat="1" applyFont="1" applyFill="1" applyBorder="1" applyAlignment="1">
      <alignment horizontal="center" vertical="center" wrapText="1"/>
    </xf>
    <xf numFmtId="168" fontId="0" fillId="9" borderId="8" xfId="0" applyNumberFormat="1" applyFont="1" applyFill="1" applyBorder="1" applyAlignment="1">
      <alignment horizontal="center" vertical="center" wrapText="1"/>
    </xf>
    <xf numFmtId="168" fontId="23" fillId="10" borderId="3" xfId="0" applyNumberFormat="1" applyFont="1" applyFill="1" applyBorder="1" applyAlignment="1">
      <alignment horizontal="left" vertical="center" wrapText="1"/>
    </xf>
    <xf numFmtId="168" fontId="23" fillId="10" borderId="4" xfId="0" applyNumberFormat="1" applyFont="1" applyFill="1" applyBorder="1" applyAlignment="1">
      <alignment horizontal="left" vertical="center" wrapText="1"/>
    </xf>
    <xf numFmtId="168" fontId="23" fillId="10" borderId="5" xfId="0" applyNumberFormat="1" applyFont="1" applyFill="1" applyBorder="1" applyAlignment="1">
      <alignment horizontal="left" vertical="center" wrapText="1"/>
    </xf>
    <xf numFmtId="168" fontId="23" fillId="10" borderId="6" xfId="0" applyNumberFormat="1" applyFont="1" applyFill="1" applyBorder="1" applyAlignment="1">
      <alignment horizontal="left" vertical="center" wrapText="1"/>
    </xf>
    <xf numFmtId="168" fontId="23" fillId="10" borderId="7" xfId="0" applyNumberFormat="1" applyFont="1" applyFill="1" applyBorder="1" applyAlignment="1">
      <alignment horizontal="left" vertical="center" wrapText="1"/>
    </xf>
    <xf numFmtId="168" fontId="23" fillId="10" borderId="9" xfId="0" applyNumberFormat="1" applyFont="1" applyFill="1" applyBorder="1" applyAlignment="1">
      <alignment horizontal="left" vertical="center" wrapText="1"/>
    </xf>
    <xf numFmtId="168" fontId="23" fillId="10" borderId="10" xfId="0" applyNumberFormat="1" applyFont="1" applyFill="1" applyBorder="1" applyAlignment="1">
      <alignment horizontal="left" vertical="center" wrapText="1"/>
    </xf>
    <xf numFmtId="168" fontId="23" fillId="16" borderId="35" xfId="0" applyNumberFormat="1" applyFont="1" applyFill="1" applyBorder="1" applyAlignment="1">
      <alignment vertical="center" wrapText="1"/>
    </xf>
    <xf numFmtId="168" fontId="16" fillId="16" borderId="6" xfId="0" applyNumberFormat="1" applyFont="1" applyFill="1" applyBorder="1" applyAlignment="1">
      <alignment vertical="center" wrapText="1"/>
    </xf>
    <xf numFmtId="168" fontId="16" fillId="16" borderId="10" xfId="0" applyNumberFormat="1" applyFont="1" applyFill="1" applyBorder="1" applyAlignment="1">
      <alignment horizontal="left" vertical="center" wrapText="1"/>
    </xf>
    <xf numFmtId="168" fontId="23" fillId="10" borderId="10" xfId="0" applyNumberFormat="1" applyFont="1" applyFill="1" applyBorder="1" applyAlignment="1">
      <alignment horizontal="center" vertical="center" wrapText="1"/>
    </xf>
    <xf numFmtId="168" fontId="23" fillId="16" borderId="4" xfId="0" applyNumberFormat="1" applyFont="1" applyFill="1" applyBorder="1" applyAlignment="1">
      <alignment horizontal="left" vertical="center" wrapText="1"/>
    </xf>
    <xf numFmtId="168" fontId="0" fillId="9" borderId="4" xfId="0" applyNumberFormat="1" applyFont="1" applyFill="1" applyBorder="1" applyAlignment="1">
      <alignment vertical="center" wrapText="1"/>
    </xf>
    <xf numFmtId="168" fontId="16" fillId="9" borderId="43" xfId="0" applyNumberFormat="1" applyFont="1" applyFill="1" applyBorder="1" applyAlignment="1">
      <alignment horizontal="left" vertical="center" wrapText="1"/>
    </xf>
    <xf numFmtId="168" fontId="0" fillId="9" borderId="0" xfId="0" applyNumberFormat="1" applyFill="1" applyBorder="1" applyAlignment="1">
      <alignment horizontal="left" vertical="center" wrapText="1"/>
    </xf>
    <xf numFmtId="168" fontId="0" fillId="9" borderId="12" xfId="0" applyNumberFormat="1" applyFill="1" applyBorder="1" applyAlignment="1">
      <alignment horizontal="left" vertical="center" wrapText="1"/>
    </xf>
    <xf numFmtId="168" fontId="0" fillId="0" borderId="35" xfId="0" applyNumberFormat="1" applyFont="1" applyFill="1" applyBorder="1" applyAlignment="1">
      <alignment horizontal="center" vertical="center" wrapText="1"/>
    </xf>
    <xf numFmtId="168" fontId="0" fillId="16" borderId="9" xfId="0" applyNumberFormat="1" applyFont="1" applyFill="1" applyBorder="1" applyAlignment="1">
      <alignment vertical="center" wrapText="1"/>
    </xf>
    <xf numFmtId="168" fontId="0" fillId="16" borderId="8" xfId="0" applyNumberFormat="1" applyFont="1" applyFill="1" applyBorder="1" applyAlignment="1">
      <alignment horizontal="left" vertical="center" wrapText="1"/>
    </xf>
    <xf numFmtId="168" fontId="16" fillId="16" borderId="9" xfId="0" applyNumberFormat="1" applyFont="1" applyFill="1" applyBorder="1" applyAlignment="1">
      <alignment horizontal="left" vertical="center" wrapText="1"/>
    </xf>
    <xf numFmtId="168" fontId="0" fillId="10" borderId="3" xfId="0" applyNumberFormat="1" applyFont="1" applyFill="1" applyBorder="1" applyAlignment="1">
      <alignment vertical="center" wrapText="1"/>
    </xf>
    <xf numFmtId="168" fontId="0" fillId="10" borderId="5" xfId="0" applyNumberFormat="1" applyFont="1" applyFill="1" applyBorder="1" applyAlignment="1">
      <alignment vertical="center" wrapText="1"/>
    </xf>
    <xf numFmtId="168" fontId="15" fillId="16" borderId="3" xfId="0" applyNumberFormat="1" applyFont="1" applyFill="1" applyBorder="1" applyAlignment="1">
      <alignment horizontal="left" vertical="center" wrapText="1"/>
    </xf>
    <xf numFmtId="168" fontId="23" fillId="10" borderId="10" xfId="0" applyNumberFormat="1" applyFont="1" applyFill="1" applyBorder="1" applyAlignment="1">
      <alignment vertical="center" wrapText="1"/>
    </xf>
    <xf numFmtId="168" fontId="23" fillId="10" borderId="9" xfId="0" applyNumberFormat="1" applyFont="1" applyFill="1" applyBorder="1" applyAlignment="1">
      <alignment vertical="center" wrapText="1"/>
    </xf>
    <xf numFmtId="168" fontId="16" fillId="16" borderId="10" xfId="0" applyNumberFormat="1" applyFont="1" applyFill="1" applyBorder="1" applyAlignment="1">
      <alignment vertical="center" wrapText="1"/>
    </xf>
    <xf numFmtId="168" fontId="20" fillId="10" borderId="10" xfId="0" applyNumberFormat="1" applyFont="1" applyFill="1" applyBorder="1" applyAlignment="1">
      <alignment horizontal="center" vertical="center" wrapText="1"/>
    </xf>
    <xf numFmtId="168" fontId="20" fillId="10" borderId="8" xfId="0" applyNumberFormat="1" applyFont="1" applyFill="1" applyBorder="1" applyAlignment="1">
      <alignment horizontal="left" vertical="center"/>
    </xf>
    <xf numFmtId="168" fontId="20" fillId="9" borderId="8" xfId="0" applyNumberFormat="1" applyFont="1" applyFill="1" applyBorder="1" applyAlignment="1">
      <alignment horizontal="left" vertical="center"/>
    </xf>
    <xf numFmtId="168" fontId="15" fillId="9" borderId="9" xfId="0" applyNumberFormat="1" applyFont="1" applyFill="1" applyBorder="1" applyAlignment="1">
      <alignment vertical="center" wrapText="1"/>
    </xf>
    <xf numFmtId="168" fontId="15" fillId="9" borderId="6" xfId="0" applyNumberFormat="1" applyFont="1" applyFill="1" applyBorder="1" applyAlignment="1">
      <alignment vertical="center" wrapText="1"/>
    </xf>
    <xf numFmtId="168" fontId="15" fillId="9" borderId="10" xfId="0" applyNumberFormat="1" applyFont="1" applyFill="1" applyBorder="1" applyAlignment="1">
      <alignment vertical="center" wrapText="1"/>
    </xf>
    <xf numFmtId="168" fontId="16" fillId="16" borderId="6" xfId="0" applyNumberFormat="1" applyFont="1" applyFill="1" applyBorder="1" applyAlignment="1">
      <alignment horizontal="left" vertical="center" wrapText="1"/>
    </xf>
    <xf numFmtId="168" fontId="0" fillId="9" borderId="44" xfId="0" applyNumberFormat="1" applyFill="1" applyBorder="1" applyAlignment="1">
      <alignment horizontal="center" vertical="center"/>
    </xf>
    <xf numFmtId="168" fontId="0" fillId="9" borderId="45" xfId="0" applyNumberFormat="1" applyFill="1" applyBorder="1" applyAlignment="1">
      <alignment horizontal="center" vertical="center"/>
    </xf>
    <xf numFmtId="168" fontId="0" fillId="9" borderId="46" xfId="0" applyNumberFormat="1" applyFill="1" applyBorder="1" applyAlignment="1">
      <alignment horizontal="center" vertical="center"/>
    </xf>
    <xf numFmtId="168" fontId="23" fillId="9" borderId="10" xfId="0" applyNumberFormat="1" applyFont="1" applyFill="1" applyBorder="1" applyAlignment="1">
      <alignment horizontal="center" vertical="center"/>
    </xf>
    <xf numFmtId="168" fontId="25" fillId="9" borderId="10" xfId="0" applyNumberFormat="1" applyFont="1" applyFill="1" applyBorder="1" applyAlignment="1">
      <alignment horizontal="left" vertical="center" wrapText="1"/>
    </xf>
    <xf numFmtId="168" fontId="26" fillId="9" borderId="10" xfId="0" applyNumberFormat="1" applyFont="1" applyFill="1" applyBorder="1" applyAlignment="1">
      <alignment horizontal="center" vertical="center" wrapText="1"/>
    </xf>
    <xf numFmtId="168" fontId="15" fillId="9" borderId="29" xfId="0" applyNumberFormat="1" applyFont="1" applyFill="1" applyBorder="1" applyAlignment="1">
      <alignment horizontal="center" vertical="center" wrapText="1"/>
    </xf>
    <xf numFmtId="168" fontId="15" fillId="9" borderId="6" xfId="0" applyNumberFormat="1" applyFont="1" applyFill="1" applyBorder="1" applyAlignment="1">
      <alignment horizontal="center" vertical="center" wrapText="1"/>
    </xf>
    <xf numFmtId="168" fontId="15" fillId="9" borderId="31" xfId="0" applyNumberFormat="1" applyFont="1" applyFill="1" applyBorder="1" applyAlignment="1">
      <alignment horizontal="center" vertical="center" wrapText="1"/>
    </xf>
    <xf numFmtId="168" fontId="16" fillId="16" borderId="9" xfId="0" applyNumberFormat="1" applyFont="1" applyFill="1" applyBorder="1" applyAlignment="1">
      <alignment vertical="center" wrapText="1"/>
    </xf>
    <xf numFmtId="168" fontId="15" fillId="10" borderId="31" xfId="0" applyNumberFormat="1" applyFont="1" applyFill="1" applyBorder="1" applyAlignment="1">
      <alignment horizontal="left" vertical="center" wrapText="1"/>
    </xf>
    <xf numFmtId="168" fontId="23" fillId="9" borderId="5" xfId="0" applyNumberFormat="1" applyFont="1" applyFill="1" applyBorder="1" applyAlignment="1">
      <alignment vertical="center" wrapText="1"/>
    </xf>
    <xf numFmtId="168" fontId="0" fillId="16" borderId="7" xfId="0" applyNumberFormat="1" applyFont="1" applyFill="1" applyBorder="1" applyAlignment="1">
      <alignment horizontal="left" vertical="center" wrapText="1"/>
    </xf>
    <xf numFmtId="168" fontId="0" fillId="16" borderId="7" xfId="0" applyNumberFormat="1" applyFont="1" applyFill="1" applyBorder="1" applyAlignment="1">
      <alignment vertical="center" wrapText="1"/>
    </xf>
    <xf numFmtId="168" fontId="23" fillId="16" borderId="29" xfId="0" applyNumberFormat="1" applyFont="1" applyFill="1" applyBorder="1" applyAlignment="1">
      <alignment vertical="center" wrapText="1"/>
    </xf>
    <xf numFmtId="168" fontId="23" fillId="16" borderId="6" xfId="0" applyNumberFormat="1" applyFont="1" applyFill="1" applyBorder="1" applyAlignment="1">
      <alignment horizontal="left" vertical="center" wrapText="1"/>
    </xf>
    <xf numFmtId="168" fontId="23" fillId="16" borderId="5" xfId="0" applyNumberFormat="1" applyFont="1" applyFill="1" applyBorder="1" applyAlignment="1">
      <alignment vertical="center" wrapText="1"/>
    </xf>
    <xf numFmtId="168" fontId="15" fillId="16" borderId="31" xfId="0" applyNumberFormat="1" applyFont="1" applyFill="1" applyBorder="1" applyAlignment="1">
      <alignment horizontal="left" vertical="center" wrapText="1"/>
    </xf>
    <xf numFmtId="164" fontId="0" fillId="9" borderId="44" xfId="0" applyFill="1" applyBorder="1" applyAlignment="1">
      <alignment/>
    </xf>
    <xf numFmtId="164" fontId="0" fillId="9" borderId="6" xfId="0" applyFont="1" applyFill="1" applyBorder="1" applyAlignment="1">
      <alignment horizontal="left" vertical="center" wrapText="1"/>
    </xf>
    <xf numFmtId="168" fontId="16" fillId="9" borderId="47" xfId="0" applyNumberFormat="1" applyFont="1" applyFill="1" applyBorder="1" applyAlignment="1">
      <alignment horizontal="left" vertical="center" wrapText="1"/>
    </xf>
    <xf numFmtId="168" fontId="23" fillId="9" borderId="35" xfId="0" applyNumberFormat="1" applyFont="1" applyFill="1" applyBorder="1" applyAlignment="1">
      <alignment horizontal="left" vertical="center" wrapText="1"/>
    </xf>
    <xf numFmtId="168" fontId="0" fillId="16" borderId="14" xfId="0" applyNumberFormat="1" applyFill="1" applyBorder="1" applyAlignment="1">
      <alignment horizontal="left" vertical="center" wrapText="1"/>
    </xf>
    <xf numFmtId="168" fontId="0" fillId="16" borderId="45" xfId="0" applyNumberFormat="1" applyFont="1" applyFill="1" applyBorder="1" applyAlignment="1">
      <alignment horizontal="left" vertical="center" wrapText="1"/>
    </xf>
    <xf numFmtId="168" fontId="0" fillId="9" borderId="0" xfId="0" applyNumberFormat="1" applyFont="1" applyFill="1" applyAlignment="1">
      <alignment vertical="center" wrapText="1"/>
    </xf>
    <xf numFmtId="168" fontId="16" fillId="9" borderId="3" xfId="0" applyNumberFormat="1" applyFont="1" applyFill="1" applyBorder="1" applyAlignment="1">
      <alignment horizontal="left" vertical="center" wrapText="1"/>
    </xf>
    <xf numFmtId="168" fontId="16" fillId="9" borderId="31" xfId="0" applyNumberFormat="1" applyFont="1" applyFill="1" applyBorder="1" applyAlignment="1">
      <alignment horizontal="left" vertical="center" wrapText="1"/>
    </xf>
    <xf numFmtId="168" fontId="16" fillId="9" borderId="35" xfId="0" applyNumberFormat="1" applyFont="1" applyFill="1" applyBorder="1" applyAlignment="1">
      <alignment horizontal="left" vertical="center" wrapText="1"/>
    </xf>
    <xf numFmtId="164" fontId="0" fillId="9" borderId="11" xfId="0" applyNumberFormat="1" applyFill="1" applyBorder="1" applyAlignment="1">
      <alignment horizontal="left" vertical="center" wrapText="1"/>
    </xf>
    <xf numFmtId="164" fontId="0" fillId="9" borderId="0" xfId="0" applyFill="1" applyBorder="1" applyAlignment="1">
      <alignment horizontal="center" vertical="center"/>
    </xf>
    <xf numFmtId="164" fontId="0" fillId="9" borderId="0" xfId="0" applyFill="1" applyAlignment="1">
      <alignment/>
    </xf>
    <xf numFmtId="168" fontId="16" fillId="9" borderId="9" xfId="0" applyNumberFormat="1" applyFont="1" applyFill="1" applyBorder="1" applyAlignment="1">
      <alignment horizontal="center" vertical="center" wrapText="1"/>
    </xf>
    <xf numFmtId="168" fontId="16" fillId="9" borderId="6" xfId="0" applyNumberFormat="1" applyFont="1" applyFill="1" applyBorder="1" applyAlignment="1">
      <alignment horizontal="center" vertical="center" wrapText="1"/>
    </xf>
    <xf numFmtId="168" fontId="0" fillId="9" borderId="6" xfId="0" applyNumberFormat="1" applyFont="1" applyFill="1" applyBorder="1" applyAlignment="1">
      <alignment horizontal="center" vertical="center" wrapText="1"/>
    </xf>
    <xf numFmtId="168" fontId="0" fillId="9" borderId="11" xfId="0" applyNumberFormat="1" applyFont="1" applyFill="1" applyBorder="1" applyAlignment="1">
      <alignment/>
    </xf>
    <xf numFmtId="168" fontId="0" fillId="9" borderId="0" xfId="0" applyNumberFormat="1" applyFont="1" applyFill="1" applyAlignment="1">
      <alignment/>
    </xf>
    <xf numFmtId="168" fontId="0" fillId="9" borderId="0" xfId="0" applyNumberFormat="1" applyFill="1" applyAlignment="1">
      <alignment/>
    </xf>
    <xf numFmtId="168" fontId="0" fillId="9" borderId="30" xfId="0" applyNumberFormat="1" applyFont="1" applyFill="1" applyBorder="1" applyAlignment="1">
      <alignment horizontal="center" vertical="center" wrapText="1"/>
    </xf>
    <xf numFmtId="164" fontId="0" fillId="9" borderId="6" xfId="0" applyNumberFormat="1" applyFont="1" applyFill="1" applyBorder="1" applyAlignment="1">
      <alignment horizontal="left" vertical="center" wrapText="1"/>
    </xf>
    <xf numFmtId="168" fontId="0" fillId="16" borderId="6" xfId="0" applyNumberFormat="1" applyFont="1" applyFill="1" applyBorder="1" applyAlignment="1">
      <alignment horizontal="right" vertical="center" wrapText="1"/>
    </xf>
    <xf numFmtId="168" fontId="0" fillId="9" borderId="48" xfId="0" applyNumberFormat="1" applyFill="1" applyBorder="1" applyAlignment="1">
      <alignment horizontal="left" vertical="center" wrapText="1"/>
    </xf>
    <xf numFmtId="168" fontId="0" fillId="9" borderId="49" xfId="0" applyNumberFormat="1" applyFill="1" applyBorder="1" applyAlignment="1">
      <alignment horizontal="left" vertical="center" wrapText="1"/>
    </xf>
    <xf numFmtId="168" fontId="15" fillId="9" borderId="50" xfId="0" applyNumberFormat="1" applyFont="1" applyFill="1" applyBorder="1" applyAlignment="1">
      <alignment horizontal="left" vertical="center" wrapText="1"/>
    </xf>
    <xf numFmtId="168" fontId="16" fillId="9" borderId="51" xfId="0" applyNumberFormat="1" applyFont="1" applyFill="1" applyBorder="1" applyAlignment="1">
      <alignment vertical="center" wrapText="1"/>
    </xf>
    <xf numFmtId="168" fontId="16" fillId="16" borderId="5" xfId="0" applyNumberFormat="1" applyFont="1" applyFill="1" applyBorder="1" applyAlignment="1">
      <alignment vertical="center" wrapText="1"/>
    </xf>
    <xf numFmtId="168" fontId="22" fillId="10" borderId="6" xfId="0" applyNumberFormat="1" applyFont="1" applyFill="1" applyBorder="1" applyAlignment="1">
      <alignment horizontal="left" vertical="center" wrapText="1"/>
    </xf>
    <xf numFmtId="168" fontId="23" fillId="10" borderId="29" xfId="0" applyNumberFormat="1" applyFont="1" applyFill="1" applyBorder="1" applyAlignment="1">
      <alignment horizontal="left" vertical="center" wrapText="1"/>
    </xf>
    <xf numFmtId="168" fontId="23" fillId="9" borderId="52" xfId="0" applyNumberFormat="1" applyFont="1" applyFill="1" applyBorder="1" applyAlignment="1">
      <alignment vertical="center" wrapText="1"/>
    </xf>
    <xf numFmtId="168" fontId="23" fillId="9" borderId="53" xfId="0" applyNumberFormat="1" applyFont="1" applyFill="1" applyBorder="1" applyAlignment="1">
      <alignment vertical="center" wrapText="1"/>
    </xf>
    <xf numFmtId="168" fontId="23" fillId="9" borderId="53" xfId="0" applyNumberFormat="1" applyFont="1" applyFill="1" applyBorder="1" applyAlignment="1">
      <alignment horizontal="left" vertical="center" wrapText="1"/>
    </xf>
    <xf numFmtId="168" fontId="23" fillId="9" borderId="31" xfId="0" applyNumberFormat="1" applyFont="1" applyFill="1" applyBorder="1" applyAlignment="1">
      <alignment horizontal="left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164" fontId="0" fillId="9" borderId="5" xfId="0" applyNumberFormat="1" applyFont="1" applyFill="1" applyBorder="1" applyAlignment="1">
      <alignment horizontal="left" vertical="center" wrapText="1"/>
    </xf>
    <xf numFmtId="168" fontId="15" fillId="9" borderId="12" xfId="0" applyNumberFormat="1" applyFont="1" applyFill="1" applyBorder="1" applyAlignment="1">
      <alignment horizontal="left" vertical="center" wrapText="1"/>
    </xf>
    <xf numFmtId="168" fontId="23" fillId="16" borderId="9" xfId="0" applyNumberFormat="1" applyFont="1" applyFill="1" applyBorder="1" applyAlignment="1">
      <alignment horizontal="left" vertical="center" wrapText="1"/>
    </xf>
    <xf numFmtId="168" fontId="0" fillId="16" borderId="3" xfId="0" applyNumberFormat="1" applyFont="1" applyFill="1" applyBorder="1" applyAlignment="1">
      <alignment horizontal="left" vertical="center" wrapText="1"/>
    </xf>
    <xf numFmtId="168" fontId="0" fillId="16" borderId="5" xfId="0" applyNumberFormat="1" applyFont="1" applyFill="1" applyBorder="1" applyAlignment="1">
      <alignment horizontal="left" vertical="center" wrapText="1"/>
    </xf>
    <xf numFmtId="168" fontId="15" fillId="16" borderId="50" xfId="0" applyNumberFormat="1" applyFont="1" applyFill="1" applyBorder="1" applyAlignment="1">
      <alignment horizontal="left" vertical="center" wrapText="1"/>
    </xf>
    <xf numFmtId="168" fontId="0" fillId="16" borderId="10" xfId="0" applyNumberFormat="1" applyFont="1" applyFill="1" applyBorder="1" applyAlignment="1">
      <alignment horizontal="left" vertical="center" wrapText="1"/>
    </xf>
    <xf numFmtId="168" fontId="0" fillId="16" borderId="10" xfId="0" applyNumberFormat="1" applyFont="1" applyFill="1" applyBorder="1" applyAlignment="1">
      <alignment horizontal="center" vertical="center" wrapText="1"/>
    </xf>
    <xf numFmtId="168" fontId="23" fillId="10" borderId="29" xfId="0" applyNumberFormat="1" applyFont="1" applyFill="1" applyBorder="1" applyAlignment="1">
      <alignment vertical="center" wrapText="1"/>
    </xf>
    <xf numFmtId="168" fontId="23" fillId="10" borderId="5" xfId="0" applyNumberFormat="1" applyFont="1" applyFill="1" applyBorder="1" applyAlignment="1">
      <alignment vertical="center" wrapText="1"/>
    </xf>
    <xf numFmtId="168" fontId="15" fillId="10" borderId="54" xfId="0" applyNumberFormat="1" applyFont="1" applyFill="1" applyBorder="1" applyAlignment="1">
      <alignment horizontal="left" vertical="center" wrapText="1"/>
    </xf>
    <xf numFmtId="168" fontId="0" fillId="10" borderId="0" xfId="0" applyNumberFormat="1" applyFill="1" applyBorder="1" applyAlignment="1">
      <alignment horizontal="left" vertical="center"/>
    </xf>
    <xf numFmtId="168" fontId="0" fillId="10" borderId="55" xfId="0" applyNumberFormat="1" applyFont="1" applyFill="1" applyBorder="1" applyAlignment="1">
      <alignment horizontal="left" vertical="center" wrapText="1"/>
    </xf>
    <xf numFmtId="168" fontId="16" fillId="9" borderId="31" xfId="0" applyNumberFormat="1" applyFont="1" applyFill="1" applyBorder="1" applyAlignment="1">
      <alignment horizontal="center" vertical="center" wrapText="1"/>
    </xf>
    <xf numFmtId="168" fontId="20" fillId="9" borderId="35" xfId="0" applyNumberFormat="1" applyFont="1" applyFill="1" applyBorder="1" applyAlignment="1">
      <alignment horizontal="center" vertical="center" wrapText="1"/>
    </xf>
    <xf numFmtId="168" fontId="15" fillId="10" borderId="47" xfId="0" applyNumberFormat="1" applyFont="1" applyFill="1" applyBorder="1" applyAlignment="1">
      <alignment horizontal="left" vertical="center" wrapText="1"/>
    </xf>
    <xf numFmtId="168" fontId="15" fillId="9" borderId="54" xfId="0" applyNumberFormat="1" applyFont="1" applyFill="1" applyBorder="1" applyAlignment="1">
      <alignment horizontal="left" vertical="center" wrapText="1"/>
    </xf>
    <xf numFmtId="168" fontId="0" fillId="9" borderId="0" xfId="0" applyNumberFormat="1" applyFill="1" applyBorder="1" applyAlignment="1">
      <alignment horizontal="left" vertical="center"/>
    </xf>
    <xf numFmtId="168" fontId="0" fillId="9" borderId="55" xfId="0" applyNumberFormat="1" applyFont="1" applyFill="1" applyBorder="1" applyAlignment="1">
      <alignment horizontal="left" vertical="center" wrapText="1"/>
    </xf>
    <xf numFmtId="168" fontId="15" fillId="9" borderId="56" xfId="0" applyNumberFormat="1" applyFont="1" applyFill="1" applyBorder="1" applyAlignment="1">
      <alignment horizontal="left" vertical="center" wrapText="1"/>
    </xf>
    <xf numFmtId="168" fontId="0" fillId="9" borderId="4" xfId="0" applyNumberFormat="1" applyFill="1" applyBorder="1" applyAlignment="1">
      <alignment horizontal="left" vertical="center" wrapText="1"/>
    </xf>
    <xf numFmtId="168" fontId="0" fillId="9" borderId="47" xfId="0" applyNumberFormat="1" applyFont="1" applyFill="1" applyBorder="1" applyAlignment="1">
      <alignment horizontal="left" vertical="center" wrapText="1"/>
    </xf>
    <xf numFmtId="168" fontId="0" fillId="0" borderId="3" xfId="0" applyNumberFormat="1" applyFont="1" applyFill="1" applyBorder="1" applyAlignment="1">
      <alignment horizontal="left" vertical="center" wrapText="1"/>
    </xf>
    <xf numFmtId="168" fontId="0" fillId="0" borderId="4" xfId="0" applyNumberFormat="1" applyFont="1" applyFill="1" applyBorder="1" applyAlignment="1">
      <alignment horizontal="left" vertical="center" wrapText="1"/>
    </xf>
    <xf numFmtId="168" fontId="0" fillId="0" borderId="5" xfId="0" applyNumberFormat="1" applyFont="1" applyFill="1" applyBorder="1" applyAlignment="1">
      <alignment horizontal="left" vertical="center" wrapText="1"/>
    </xf>
    <xf numFmtId="168" fontId="0" fillId="0" borderId="6" xfId="0" applyNumberFormat="1" applyFont="1" applyFill="1" applyBorder="1" applyAlignment="1">
      <alignment horizontal="left" vertical="center" wrapText="1"/>
    </xf>
    <xf numFmtId="168" fontId="0" fillId="0" borderId="6" xfId="0" applyNumberFormat="1" applyFont="1" applyFill="1" applyBorder="1" applyAlignment="1">
      <alignment horizontal="right" vertical="center" wrapText="1"/>
    </xf>
    <xf numFmtId="168" fontId="0" fillId="0" borderId="7" xfId="0" applyNumberFormat="1" applyFont="1" applyFill="1" applyBorder="1" applyAlignment="1">
      <alignment horizontal="left" vertical="center" wrapText="1"/>
    </xf>
    <xf numFmtId="168" fontId="0" fillId="0" borderId="8" xfId="0" applyNumberFormat="1" applyFont="1" applyFill="1" applyBorder="1" applyAlignment="1">
      <alignment horizontal="left" vertical="center" wrapText="1"/>
    </xf>
    <xf numFmtId="168" fontId="15" fillId="0" borderId="29" xfId="0" applyNumberFormat="1" applyFont="1" applyFill="1" applyBorder="1" applyAlignment="1">
      <alignment horizontal="left" vertical="center" wrapText="1"/>
    </xf>
    <xf numFmtId="168" fontId="15" fillId="0" borderId="6" xfId="0" applyNumberFormat="1" applyFont="1" applyFill="1" applyBorder="1" applyAlignment="1">
      <alignment horizontal="left" vertical="center" wrapText="1"/>
    </xf>
    <xf numFmtId="168" fontId="15" fillId="0" borderId="10" xfId="0" applyNumberFormat="1" applyFont="1" applyFill="1" applyBorder="1" applyAlignment="1">
      <alignment horizontal="left" vertical="center" wrapText="1"/>
    </xf>
    <xf numFmtId="168" fontId="16" fillId="0" borderId="9" xfId="0" applyNumberFormat="1" applyFont="1" applyFill="1" applyBorder="1" applyAlignment="1">
      <alignment vertical="center" wrapText="1"/>
    </xf>
    <xf numFmtId="168" fontId="16" fillId="0" borderId="6" xfId="0" applyNumberFormat="1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horizontal="left" vertical="center" wrapText="1"/>
    </xf>
    <xf numFmtId="168" fontId="0" fillId="0" borderId="9" xfId="0" applyNumberFormat="1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left" vertical="center" wrapText="1"/>
    </xf>
    <xf numFmtId="168" fontId="0" fillId="9" borderId="12" xfId="0" applyNumberFormat="1" applyFont="1" applyFill="1" applyBorder="1" applyAlignment="1">
      <alignment horizontal="center" vertical="center"/>
    </xf>
    <xf numFmtId="168" fontId="20" fillId="16" borderId="8" xfId="0" applyNumberFormat="1" applyFont="1" applyFill="1" applyBorder="1" applyAlignment="1">
      <alignment horizontal="left" vertical="center"/>
    </xf>
    <xf numFmtId="168" fontId="20" fillId="0" borderId="8" xfId="0" applyNumberFormat="1" applyFont="1" applyFill="1" applyBorder="1" applyAlignment="1">
      <alignment horizontal="left" vertical="center"/>
    </xf>
    <xf numFmtId="168" fontId="15" fillId="0" borderId="9" xfId="0" applyNumberFormat="1" applyFont="1" applyFill="1" applyBorder="1" applyAlignment="1">
      <alignment horizontal="left" vertical="center" wrapText="1"/>
    </xf>
    <xf numFmtId="168" fontId="16" fillId="0" borderId="9" xfId="0" applyNumberFormat="1" applyFont="1" applyFill="1" applyBorder="1" applyAlignment="1">
      <alignment horizontal="left" vertical="center" wrapText="1"/>
    </xf>
    <xf numFmtId="168" fontId="23" fillId="0" borderId="4" xfId="0" applyNumberFormat="1" applyFont="1" applyFill="1" applyBorder="1" applyAlignment="1">
      <alignment horizontal="left" vertical="center" wrapText="1"/>
    </xf>
    <xf numFmtId="168" fontId="0" fillId="16" borderId="29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8" fontId="0" fillId="0" borderId="29" xfId="0" applyNumberFormat="1" applyFont="1" applyFill="1" applyBorder="1" applyAlignment="1">
      <alignment horizontal="left" vertical="center" wrapText="1"/>
    </xf>
    <xf numFmtId="168" fontId="0" fillId="0" borderId="31" xfId="0" applyNumberFormat="1" applyFont="1" applyFill="1" applyBorder="1" applyAlignment="1">
      <alignment horizontal="left" vertical="center" wrapText="1"/>
    </xf>
    <xf numFmtId="168" fontId="22" fillId="0" borderId="6" xfId="0" applyNumberFormat="1" applyFont="1" applyFill="1" applyBorder="1" applyAlignment="1">
      <alignment horizontal="left" vertical="center" wrapText="1"/>
    </xf>
    <xf numFmtId="168" fontId="23" fillId="0" borderId="10" xfId="0" applyNumberFormat="1" applyFont="1" applyFill="1" applyBorder="1" applyAlignment="1">
      <alignment horizontal="left" vertical="center" wrapText="1"/>
    </xf>
    <xf numFmtId="168" fontId="0" fillId="0" borderId="6" xfId="0" applyNumberFormat="1" applyFont="1" applyFill="1" applyBorder="1" applyAlignment="1">
      <alignment vertical="center" wrapText="1"/>
    </xf>
    <xf numFmtId="168" fontId="23" fillId="0" borderId="32" xfId="0" applyNumberFormat="1" applyFont="1" applyFill="1" applyBorder="1" applyAlignment="1">
      <alignment horizontal="left" vertical="center" wrapText="1"/>
    </xf>
    <xf numFmtId="168" fontId="15" fillId="0" borderId="33" xfId="0" applyNumberFormat="1" applyFont="1" applyFill="1" applyBorder="1" applyAlignment="1">
      <alignment horizontal="left" vertical="center" wrapText="1"/>
    </xf>
    <xf numFmtId="168" fontId="0" fillId="17" borderId="42" xfId="0" applyNumberFormat="1" applyFont="1" applyFill="1" applyBorder="1" applyAlignment="1">
      <alignment horizontal="right" vertical="center" wrapText="1"/>
    </xf>
    <xf numFmtId="164" fontId="23" fillId="17" borderId="29" xfId="0" applyNumberFormat="1" applyFont="1" applyFill="1" applyBorder="1" applyAlignment="1">
      <alignment horizontal="left" vertical="center" wrapText="1"/>
    </xf>
    <xf numFmtId="168" fontId="23" fillId="17" borderId="33" xfId="0" applyNumberFormat="1" applyFont="1" applyFill="1" applyBorder="1" applyAlignment="1">
      <alignment horizontal="left" vertical="center" wrapText="1"/>
    </xf>
    <xf numFmtId="164" fontId="0" fillId="0" borderId="19" xfId="0" applyNumberFormat="1" applyFill="1" applyBorder="1" applyAlignment="1">
      <alignment horizontal="left" vertical="center" wrapText="1"/>
    </xf>
    <xf numFmtId="168" fontId="0" fillId="0" borderId="42" xfId="0" applyNumberFormat="1" applyFont="1" applyFill="1" applyBorder="1" applyAlignment="1">
      <alignment horizontal="left" vertical="center" wrapText="1"/>
    </xf>
    <xf numFmtId="164" fontId="23" fillId="0" borderId="29" xfId="0" applyNumberFormat="1" applyFont="1" applyFill="1" applyBorder="1" applyAlignment="1">
      <alignment horizontal="left" vertical="center" wrapText="1"/>
    </xf>
    <xf numFmtId="168" fontId="23" fillId="0" borderId="33" xfId="0" applyNumberFormat="1" applyFont="1" applyFill="1" applyBorder="1" applyAlignment="1">
      <alignment horizontal="left" vertical="center" wrapText="1"/>
    </xf>
    <xf numFmtId="168" fontId="0" fillId="0" borderId="42" xfId="0" applyNumberFormat="1" applyFont="1" applyFill="1" applyBorder="1" applyAlignment="1">
      <alignment vertical="center" wrapText="1"/>
    </xf>
    <xf numFmtId="168" fontId="23" fillId="0" borderId="29" xfId="0" applyNumberFormat="1" applyFont="1" applyFill="1" applyBorder="1" applyAlignment="1">
      <alignment horizontal="left" vertical="center" wrapText="1"/>
    </xf>
    <xf numFmtId="168" fontId="23" fillId="0" borderId="33" xfId="0" applyNumberFormat="1" applyFont="1" applyFill="1" applyBorder="1" applyAlignment="1">
      <alignment vertical="center" wrapText="1"/>
    </xf>
    <xf numFmtId="168" fontId="20" fillId="0" borderId="8" xfId="0" applyNumberFormat="1" applyFont="1" applyFill="1" applyBorder="1" applyAlignment="1">
      <alignment horizontal="left" vertical="center" wrapText="1"/>
    </xf>
    <xf numFmtId="164" fontId="16" fillId="0" borderId="10" xfId="0" applyNumberFormat="1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39" xfId="0" applyNumberFormat="1" applyFont="1" applyFill="1" applyBorder="1" applyAlignment="1">
      <alignment horizontal="left" vertical="center" wrapText="1"/>
    </xf>
    <xf numFmtId="168" fontId="0" fillId="0" borderId="40" xfId="0" applyNumberFormat="1" applyFont="1" applyFill="1" applyBorder="1" applyAlignment="1">
      <alignment horizontal="left" vertical="center" wrapText="1"/>
    </xf>
    <xf numFmtId="168" fontId="0" fillId="0" borderId="40" xfId="0" applyNumberFormat="1" applyFont="1" applyFill="1" applyBorder="1" applyAlignment="1">
      <alignment horizontal="right" vertical="center" wrapText="1"/>
    </xf>
    <xf numFmtId="168" fontId="0" fillId="0" borderId="41" xfId="0" applyNumberFormat="1" applyFont="1" applyFill="1" applyBorder="1" applyAlignment="1">
      <alignment horizontal="left" vertical="center" wrapText="1"/>
    </xf>
    <xf numFmtId="168" fontId="16" fillId="0" borderId="6" xfId="0" applyNumberFormat="1" applyFont="1" applyFill="1" applyBorder="1" applyAlignment="1">
      <alignment vertical="center" wrapText="1"/>
    </xf>
    <xf numFmtId="168" fontId="16" fillId="0" borderId="5" xfId="0" applyNumberFormat="1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0" fillId="0" borderId="8" xfId="0" applyNumberFormat="1" applyFont="1" applyFill="1" applyBorder="1" applyAlignment="1">
      <alignment horizontal="center" vertical="center" wrapText="1"/>
    </xf>
    <xf numFmtId="168" fontId="16" fillId="0" borderId="38" xfId="0" applyNumberFormat="1" applyFont="1" applyFill="1" applyBorder="1" applyAlignment="1">
      <alignment horizontal="left" vertical="center" wrapText="1"/>
    </xf>
    <xf numFmtId="168" fontId="16" fillId="0" borderId="39" xfId="0" applyNumberFormat="1" applyFont="1" applyFill="1" applyBorder="1" applyAlignment="1">
      <alignment vertical="center" wrapText="1"/>
    </xf>
    <xf numFmtId="168" fontId="16" fillId="0" borderId="29" xfId="0" applyNumberFormat="1" applyFont="1" applyFill="1" applyBorder="1" applyAlignment="1">
      <alignment horizontal="left" vertical="center" wrapText="1"/>
    </xf>
    <xf numFmtId="168" fontId="23" fillId="0" borderId="5" xfId="0" applyNumberFormat="1" applyFont="1" applyFill="1" applyBorder="1" applyAlignment="1">
      <alignment horizontal="left" vertical="center" wrapText="1"/>
    </xf>
    <xf numFmtId="168" fontId="0" fillId="0" borderId="7" xfId="0" applyNumberFormat="1" applyFont="1" applyFill="1" applyBorder="1" applyAlignment="1">
      <alignment vertical="center" wrapText="1"/>
    </xf>
    <xf numFmtId="168" fontId="0" fillId="0" borderId="8" xfId="0" applyNumberFormat="1" applyFont="1" applyFill="1" applyBorder="1" applyAlignment="1">
      <alignment vertical="center" wrapText="1"/>
    </xf>
    <xf numFmtId="168" fontId="15" fillId="0" borderId="9" xfId="0" applyNumberFormat="1" applyFont="1" applyFill="1" applyBorder="1" applyAlignment="1">
      <alignment vertical="center" wrapText="1"/>
    </xf>
    <xf numFmtId="168" fontId="15" fillId="0" borderId="6" xfId="0" applyNumberFormat="1" applyFont="1" applyFill="1" applyBorder="1" applyAlignment="1">
      <alignment vertical="center" wrapText="1"/>
    </xf>
    <xf numFmtId="168" fontId="15" fillId="0" borderId="10" xfId="0" applyNumberFormat="1" applyFont="1" applyFill="1" applyBorder="1" applyAlignment="1">
      <alignment vertical="center" wrapText="1"/>
    </xf>
    <xf numFmtId="168" fontId="0" fillId="0" borderId="9" xfId="0" applyNumberFormat="1" applyFont="1" applyFill="1" applyBorder="1" applyAlignment="1">
      <alignment vertical="center" wrapText="1"/>
    </xf>
    <xf numFmtId="168" fontId="0" fillId="0" borderId="47" xfId="0" applyNumberFormat="1" applyFont="1" applyFill="1" applyBorder="1" applyAlignment="1">
      <alignment horizontal="left" vertical="center" wrapText="1"/>
    </xf>
    <xf numFmtId="168" fontId="0" fillId="11" borderId="3" xfId="0" applyNumberFormat="1" applyFont="1" applyFill="1" applyBorder="1" applyAlignment="1">
      <alignment horizontal="left" vertical="center" wrapText="1"/>
    </xf>
    <xf numFmtId="168" fontId="0" fillId="11" borderId="4" xfId="0" applyNumberFormat="1" applyFont="1" applyFill="1" applyBorder="1" applyAlignment="1">
      <alignment horizontal="left" vertical="center" wrapText="1"/>
    </xf>
    <xf numFmtId="168" fontId="0" fillId="11" borderId="5" xfId="0" applyNumberFormat="1" applyFont="1" applyFill="1" applyBorder="1" applyAlignment="1">
      <alignment horizontal="left" vertical="center" wrapText="1"/>
    </xf>
    <xf numFmtId="168" fontId="0" fillId="11" borderId="6" xfId="0" applyNumberFormat="1" applyFont="1" applyFill="1" applyBorder="1" applyAlignment="1">
      <alignment horizontal="left" vertical="center" wrapText="1"/>
    </xf>
    <xf numFmtId="168" fontId="0" fillId="11" borderId="6" xfId="0" applyNumberFormat="1" applyFont="1" applyFill="1" applyBorder="1" applyAlignment="1">
      <alignment horizontal="right" vertical="center" wrapText="1"/>
    </xf>
    <xf numFmtId="168" fontId="0" fillId="11" borderId="7" xfId="0" applyNumberFormat="1" applyFont="1" applyFill="1" applyBorder="1" applyAlignment="1">
      <alignment horizontal="left" vertical="center" wrapText="1"/>
    </xf>
    <xf numFmtId="168" fontId="0" fillId="11" borderId="8" xfId="0" applyNumberFormat="1" applyFont="1" applyFill="1" applyBorder="1" applyAlignment="1">
      <alignment horizontal="left" vertical="center" wrapText="1"/>
    </xf>
    <xf numFmtId="168" fontId="15" fillId="11" borderId="9" xfId="0" applyNumberFormat="1" applyFont="1" applyFill="1" applyBorder="1" applyAlignment="1">
      <alignment horizontal="left" vertical="center" wrapText="1"/>
    </xf>
    <xf numFmtId="168" fontId="15" fillId="11" borderId="10" xfId="0" applyNumberFormat="1" applyFont="1" applyFill="1" applyBorder="1" applyAlignment="1">
      <alignment horizontal="left" vertical="center" wrapText="1"/>
    </xf>
    <xf numFmtId="168" fontId="0" fillId="11" borderId="29" xfId="0" applyNumberFormat="1" applyFont="1" applyFill="1" applyBorder="1" applyAlignment="1">
      <alignment horizontal="left" vertical="center" wrapText="1"/>
    </xf>
    <xf numFmtId="168" fontId="0" fillId="11" borderId="31" xfId="0" applyNumberFormat="1" applyFont="1" applyFill="1" applyBorder="1" applyAlignment="1">
      <alignment horizontal="left" vertical="center" wrapText="1"/>
    </xf>
    <xf numFmtId="168" fontId="0" fillId="11" borderId="35" xfId="0" applyNumberFormat="1" applyFont="1" applyFill="1" applyBorder="1" applyAlignment="1">
      <alignment horizontal="center" vertical="center" wrapText="1"/>
    </xf>
    <xf numFmtId="168" fontId="15" fillId="0" borderId="3" xfId="0" applyNumberFormat="1" applyFont="1" applyFill="1" applyBorder="1" applyAlignment="1">
      <alignment horizontal="left" vertical="center" wrapText="1"/>
    </xf>
    <xf numFmtId="164" fontId="0" fillId="0" borderId="46" xfId="0" applyNumberFormat="1" applyFill="1" applyBorder="1" applyAlignment="1">
      <alignment horizontal="left" vertical="center" wrapText="1"/>
    </xf>
    <xf numFmtId="168" fontId="16" fillId="17" borderId="9" xfId="0" applyNumberFormat="1" applyFont="1" applyFill="1" applyBorder="1" applyAlignment="1">
      <alignment horizontal="left" vertical="center" wrapText="1"/>
    </xf>
    <xf numFmtId="168" fontId="16" fillId="17" borderId="6" xfId="0" applyNumberFormat="1" applyFont="1" applyFill="1" applyBorder="1" applyAlignment="1">
      <alignment horizontal="left" vertical="center" wrapText="1"/>
    </xf>
    <xf numFmtId="168" fontId="16" fillId="17" borderId="10" xfId="0" applyNumberFormat="1" applyFont="1" applyFill="1" applyBorder="1" applyAlignment="1">
      <alignment horizontal="left" vertical="center" wrapText="1"/>
    </xf>
    <xf numFmtId="168" fontId="15" fillId="0" borderId="31" xfId="0" applyNumberFormat="1" applyFont="1" applyFill="1" applyBorder="1" applyAlignment="1">
      <alignment horizontal="left" vertical="center" wrapText="1"/>
    </xf>
    <xf numFmtId="164" fontId="0" fillId="0" borderId="44" xfId="0" applyNumberFormat="1" applyFill="1" applyBorder="1" applyAlignment="1">
      <alignment horizontal="left" vertical="center" wrapText="1"/>
    </xf>
    <xf numFmtId="168" fontId="23" fillId="0" borderId="6" xfId="0" applyNumberFormat="1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horizontal="left" vertical="center" wrapText="1"/>
    </xf>
    <xf numFmtId="168" fontId="0" fillId="16" borderId="4" xfId="0" applyNumberFormat="1" applyFont="1" applyFill="1" applyBorder="1" applyAlignment="1">
      <alignment horizontal="left" vertical="center" wrapText="1"/>
    </xf>
    <xf numFmtId="168" fontId="0" fillId="0" borderId="30" xfId="0" applyNumberFormat="1" applyFont="1" applyFill="1" applyBorder="1" applyAlignment="1">
      <alignment horizontal="left" vertical="center" wrapText="1"/>
    </xf>
    <xf numFmtId="168" fontId="15" fillId="0" borderId="54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Border="1" applyAlignment="1">
      <alignment horizontal="left" vertical="center"/>
    </xf>
    <xf numFmtId="168" fontId="0" fillId="0" borderId="55" xfId="0" applyNumberFormat="1" applyFont="1" applyFill="1" applyBorder="1" applyAlignment="1">
      <alignment horizontal="left" vertical="center" wrapText="1"/>
    </xf>
    <xf numFmtId="168" fontId="0" fillId="0" borderId="11" xfId="0" applyNumberFormat="1" applyFont="1" applyFill="1" applyBorder="1" applyAlignment="1">
      <alignment horizontal="left"/>
    </xf>
    <xf numFmtId="168" fontId="0" fillId="0" borderId="0" xfId="0" applyNumberFormat="1" applyFont="1" applyFill="1" applyAlignment="1">
      <alignment horizontal="left"/>
    </xf>
    <xf numFmtId="168" fontId="16" fillId="0" borderId="31" xfId="0" applyNumberFormat="1" applyFont="1" applyFill="1" applyBorder="1" applyAlignment="1">
      <alignment horizontal="left" vertical="center" wrapText="1"/>
    </xf>
    <xf numFmtId="164" fontId="0" fillId="18" borderId="0" xfId="0" applyFill="1" applyAlignment="1">
      <alignment horizontal="center"/>
    </xf>
    <xf numFmtId="164" fontId="0" fillId="18" borderId="0" xfId="0" applyFill="1" applyAlignment="1">
      <alignment/>
    </xf>
    <xf numFmtId="164" fontId="20" fillId="18" borderId="0" xfId="0" applyFont="1" applyFill="1" applyAlignment="1">
      <alignment horizontal="center"/>
    </xf>
    <xf numFmtId="164" fontId="20" fillId="18" borderId="0" xfId="0" applyFont="1" applyFill="1" applyAlignment="1">
      <alignment/>
    </xf>
    <xf numFmtId="164" fontId="28" fillId="18" borderId="0" xfId="20" applyNumberFormat="1" applyFont="1" applyFill="1" applyBorder="1" applyAlignment="1" applyProtection="1">
      <alignment horizontal="center"/>
      <protection/>
    </xf>
  </cellXfs>
  <cellStyles count="2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1 10" xfId="22"/>
    <cellStyle name="Accent 1 11" xfId="23"/>
    <cellStyle name="Accent 1 12" xfId="24"/>
    <cellStyle name="Accent 1 13" xfId="25"/>
    <cellStyle name="Accent 1 14" xfId="26"/>
    <cellStyle name="Accent 1 2" xfId="27"/>
    <cellStyle name="Accent 1 3" xfId="28"/>
    <cellStyle name="Accent 1 4" xfId="29"/>
    <cellStyle name="Accent 1 5" xfId="30"/>
    <cellStyle name="Accent 1 6" xfId="31"/>
    <cellStyle name="Accent 1 7" xfId="32"/>
    <cellStyle name="Accent 1 8" xfId="33"/>
    <cellStyle name="Accent 1 9" xfId="34"/>
    <cellStyle name="Accent 10" xfId="35"/>
    <cellStyle name="Accent 11" xfId="36"/>
    <cellStyle name="Accent 12" xfId="37"/>
    <cellStyle name="Accent 13" xfId="38"/>
    <cellStyle name="Accent 14" xfId="39"/>
    <cellStyle name="Accent 15" xfId="40"/>
    <cellStyle name="Accent 16" xfId="41"/>
    <cellStyle name="Accent 17" xfId="42"/>
    <cellStyle name="Accent 2 1" xfId="43"/>
    <cellStyle name="Accent 2 10" xfId="44"/>
    <cellStyle name="Accent 2 11" xfId="45"/>
    <cellStyle name="Accent 2 12" xfId="46"/>
    <cellStyle name="Accent 2 13" xfId="47"/>
    <cellStyle name="Accent 2 14" xfId="48"/>
    <cellStyle name="Accent 2 2" xfId="49"/>
    <cellStyle name="Accent 2 3" xfId="50"/>
    <cellStyle name="Accent 2 4" xfId="51"/>
    <cellStyle name="Accent 2 5" xfId="52"/>
    <cellStyle name="Accent 2 6" xfId="53"/>
    <cellStyle name="Accent 2 7" xfId="54"/>
    <cellStyle name="Accent 2 8" xfId="55"/>
    <cellStyle name="Accent 2 9" xfId="56"/>
    <cellStyle name="Accent 3 1" xfId="57"/>
    <cellStyle name="Accent 3 10" xfId="58"/>
    <cellStyle name="Accent 3 11" xfId="59"/>
    <cellStyle name="Accent 3 12" xfId="60"/>
    <cellStyle name="Accent 3 13" xfId="61"/>
    <cellStyle name="Accent 3 14" xfId="62"/>
    <cellStyle name="Accent 3 2" xfId="63"/>
    <cellStyle name="Accent 3 3" xfId="64"/>
    <cellStyle name="Accent 3 4" xfId="65"/>
    <cellStyle name="Accent 3 5" xfId="66"/>
    <cellStyle name="Accent 3 6" xfId="67"/>
    <cellStyle name="Accent 3 7" xfId="68"/>
    <cellStyle name="Accent 3 8" xfId="69"/>
    <cellStyle name="Accent 3 9" xfId="70"/>
    <cellStyle name="Accent 4" xfId="71"/>
    <cellStyle name="Accent 5" xfId="72"/>
    <cellStyle name="Accent 6" xfId="73"/>
    <cellStyle name="Accent 7" xfId="74"/>
    <cellStyle name="Accent 8" xfId="75"/>
    <cellStyle name="Accent 9" xfId="76"/>
    <cellStyle name="Bad 1" xfId="77"/>
    <cellStyle name="Bad 10" xfId="78"/>
    <cellStyle name="Bad 11" xfId="79"/>
    <cellStyle name="Bad 12" xfId="80"/>
    <cellStyle name="Bad 13" xfId="81"/>
    <cellStyle name="Bad 14" xfId="82"/>
    <cellStyle name="Bad 2" xfId="83"/>
    <cellStyle name="Bad 3" xfId="84"/>
    <cellStyle name="Bad 4" xfId="85"/>
    <cellStyle name="Bad 5" xfId="86"/>
    <cellStyle name="Bad 6" xfId="87"/>
    <cellStyle name="Bad 7" xfId="88"/>
    <cellStyle name="Bad 8" xfId="89"/>
    <cellStyle name="Bad 9" xfId="90"/>
    <cellStyle name="Error 1" xfId="91"/>
    <cellStyle name="Error 10" xfId="92"/>
    <cellStyle name="Error 11" xfId="93"/>
    <cellStyle name="Error 12" xfId="94"/>
    <cellStyle name="Error 13" xfId="95"/>
    <cellStyle name="Error 14" xfId="96"/>
    <cellStyle name="Error 2" xfId="97"/>
    <cellStyle name="Error 3" xfId="98"/>
    <cellStyle name="Error 4" xfId="99"/>
    <cellStyle name="Error 5" xfId="100"/>
    <cellStyle name="Error 6" xfId="101"/>
    <cellStyle name="Error 7" xfId="102"/>
    <cellStyle name="Error 8" xfId="103"/>
    <cellStyle name="Error 9" xfId="104"/>
    <cellStyle name="Footnote 1" xfId="105"/>
    <cellStyle name="Footnote 10" xfId="106"/>
    <cellStyle name="Footnote 11" xfId="107"/>
    <cellStyle name="Footnote 12" xfId="108"/>
    <cellStyle name="Footnote 13" xfId="109"/>
    <cellStyle name="Footnote 14" xfId="110"/>
    <cellStyle name="Footnote 2" xfId="111"/>
    <cellStyle name="Footnote 3" xfId="112"/>
    <cellStyle name="Footnote 4" xfId="113"/>
    <cellStyle name="Footnote 5" xfId="114"/>
    <cellStyle name="Footnote 6" xfId="115"/>
    <cellStyle name="Footnote 7" xfId="116"/>
    <cellStyle name="Footnote 8" xfId="117"/>
    <cellStyle name="Footnote 9" xfId="118"/>
    <cellStyle name="Good 1" xfId="119"/>
    <cellStyle name="Good 10" xfId="120"/>
    <cellStyle name="Good 11" xfId="121"/>
    <cellStyle name="Good 12" xfId="122"/>
    <cellStyle name="Good 13" xfId="123"/>
    <cellStyle name="Good 14" xfId="124"/>
    <cellStyle name="Good 2" xfId="125"/>
    <cellStyle name="Good 3" xfId="126"/>
    <cellStyle name="Good 4" xfId="127"/>
    <cellStyle name="Good 5" xfId="128"/>
    <cellStyle name="Good 6" xfId="129"/>
    <cellStyle name="Good 7" xfId="130"/>
    <cellStyle name="Good 8" xfId="131"/>
    <cellStyle name="Good 9" xfId="132"/>
    <cellStyle name="Heading 1 1" xfId="133"/>
    <cellStyle name="Heading 1 10" xfId="134"/>
    <cellStyle name="Heading 1 11" xfId="135"/>
    <cellStyle name="Heading 1 12" xfId="136"/>
    <cellStyle name="Heading 1 13" xfId="137"/>
    <cellStyle name="Heading 1 14" xfId="138"/>
    <cellStyle name="Heading 1 2" xfId="139"/>
    <cellStyle name="Heading 1 3" xfId="140"/>
    <cellStyle name="Heading 1 4" xfId="141"/>
    <cellStyle name="Heading 1 5" xfId="142"/>
    <cellStyle name="Heading 1 6" xfId="143"/>
    <cellStyle name="Heading 1 7" xfId="144"/>
    <cellStyle name="Heading 1 8" xfId="145"/>
    <cellStyle name="Heading 1 9" xfId="146"/>
    <cellStyle name="Heading 10" xfId="147"/>
    <cellStyle name="Heading 11" xfId="148"/>
    <cellStyle name="Heading 12" xfId="149"/>
    <cellStyle name="Heading 13" xfId="150"/>
    <cellStyle name="Heading 14" xfId="151"/>
    <cellStyle name="Heading 15" xfId="152"/>
    <cellStyle name="Heading 2 1" xfId="153"/>
    <cellStyle name="Heading 2 10" xfId="154"/>
    <cellStyle name="Heading 2 11" xfId="155"/>
    <cellStyle name="Heading 2 12" xfId="156"/>
    <cellStyle name="Heading 2 13" xfId="157"/>
    <cellStyle name="Heading 2 14" xfId="158"/>
    <cellStyle name="Heading 2 2" xfId="159"/>
    <cellStyle name="Heading 2 3" xfId="160"/>
    <cellStyle name="Heading 2 4" xfId="161"/>
    <cellStyle name="Heading 2 5" xfId="162"/>
    <cellStyle name="Heading 2 6" xfId="163"/>
    <cellStyle name="Heading 2 7" xfId="164"/>
    <cellStyle name="Heading 2 8" xfId="165"/>
    <cellStyle name="Heading 2 9" xfId="166"/>
    <cellStyle name="Heading 3" xfId="167"/>
    <cellStyle name="Heading 4" xfId="168"/>
    <cellStyle name="Heading 5" xfId="169"/>
    <cellStyle name="Heading 6" xfId="170"/>
    <cellStyle name="Heading 7" xfId="171"/>
    <cellStyle name="Heading 8" xfId="172"/>
    <cellStyle name="Heading 9" xfId="173"/>
    <cellStyle name="Hyperlink 1" xfId="174"/>
    <cellStyle name="Hyperlink 2" xfId="175"/>
    <cellStyle name="Hyperlink 3" xfId="176"/>
    <cellStyle name="Hyperlink 4" xfId="177"/>
    <cellStyle name="Hyperlink 5" xfId="178"/>
    <cellStyle name="Hyperlink 6" xfId="179"/>
    <cellStyle name="Hyperlink 7" xfId="180"/>
    <cellStyle name="Hyperlink 8" xfId="181"/>
    <cellStyle name="Neutral 1" xfId="182"/>
    <cellStyle name="Neutral 10" xfId="183"/>
    <cellStyle name="Neutral 11" xfId="184"/>
    <cellStyle name="Neutral 12" xfId="185"/>
    <cellStyle name="Neutral 13" xfId="186"/>
    <cellStyle name="Neutral 14" xfId="187"/>
    <cellStyle name="Neutral 2" xfId="188"/>
    <cellStyle name="Neutral 3" xfId="189"/>
    <cellStyle name="Neutral 4" xfId="190"/>
    <cellStyle name="Neutral 5" xfId="191"/>
    <cellStyle name="Neutral 6" xfId="192"/>
    <cellStyle name="Neutral 7" xfId="193"/>
    <cellStyle name="Neutral 8" xfId="194"/>
    <cellStyle name="Neutral 9" xfId="195"/>
    <cellStyle name="Note 1" xfId="196"/>
    <cellStyle name="Note 10" xfId="197"/>
    <cellStyle name="Note 11" xfId="198"/>
    <cellStyle name="Note 12" xfId="199"/>
    <cellStyle name="Note 13" xfId="200"/>
    <cellStyle name="Note 14" xfId="201"/>
    <cellStyle name="Note 2" xfId="202"/>
    <cellStyle name="Note 3" xfId="203"/>
    <cellStyle name="Note 4" xfId="204"/>
    <cellStyle name="Note 5" xfId="205"/>
    <cellStyle name="Note 6" xfId="206"/>
    <cellStyle name="Note 7" xfId="207"/>
    <cellStyle name="Note 8" xfId="208"/>
    <cellStyle name="Note 9" xfId="209"/>
    <cellStyle name="Status 1" xfId="210"/>
    <cellStyle name="Status 10" xfId="211"/>
    <cellStyle name="Status 11" xfId="212"/>
    <cellStyle name="Status 12" xfId="213"/>
    <cellStyle name="Status 13" xfId="214"/>
    <cellStyle name="Status 14" xfId="215"/>
    <cellStyle name="Status 2" xfId="216"/>
    <cellStyle name="Status 3" xfId="217"/>
    <cellStyle name="Status 4" xfId="218"/>
    <cellStyle name="Status 5" xfId="219"/>
    <cellStyle name="Status 6" xfId="220"/>
    <cellStyle name="Status 7" xfId="221"/>
    <cellStyle name="Status 8" xfId="222"/>
    <cellStyle name="Status 9" xfId="223"/>
    <cellStyle name="Text 1" xfId="224"/>
    <cellStyle name="Text 10" xfId="225"/>
    <cellStyle name="Text 11" xfId="226"/>
    <cellStyle name="Text 12" xfId="227"/>
    <cellStyle name="Text 13" xfId="228"/>
    <cellStyle name="Text 14" xfId="229"/>
    <cellStyle name="Text 2" xfId="230"/>
    <cellStyle name="Text 3" xfId="231"/>
    <cellStyle name="Text 4" xfId="232"/>
    <cellStyle name="Text 5" xfId="233"/>
    <cellStyle name="Text 6" xfId="234"/>
    <cellStyle name="Text 7" xfId="235"/>
    <cellStyle name="Text 8" xfId="236"/>
    <cellStyle name="Text 9" xfId="237"/>
    <cellStyle name="Warning 1" xfId="238"/>
    <cellStyle name="Warning 10" xfId="239"/>
    <cellStyle name="Warning 11" xfId="240"/>
    <cellStyle name="Warning 12" xfId="241"/>
    <cellStyle name="Warning 13" xfId="242"/>
    <cellStyle name="Warning 14" xfId="243"/>
    <cellStyle name="Warning 2" xfId="244"/>
    <cellStyle name="Warning 3" xfId="245"/>
    <cellStyle name="Warning 4" xfId="246"/>
    <cellStyle name="Warning 5" xfId="247"/>
    <cellStyle name="Warning 6" xfId="248"/>
    <cellStyle name="Warning 7" xfId="249"/>
    <cellStyle name="Warning 8" xfId="250"/>
    <cellStyle name="Warning 9" xfId="2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47FF47"/>
      <rgbColor rgb="000000FF"/>
      <rgbColor rgb="00FFFF38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6D"/>
      <rgbColor rgb="0000FFFF"/>
      <rgbColor rgb="00800080"/>
      <rgbColor rgb="00800000"/>
      <rgbColor rgb="00008080"/>
      <rgbColor rgb="000000EE"/>
      <rgbColor rgb="0000CCFF"/>
      <rgbColor rgb="00FFFFD7"/>
      <rgbColor rgb="00CCFFCC"/>
      <rgbColor rgb="00FFFFA6"/>
      <rgbColor rgb="0099CCFF"/>
      <rgbColor rgb="00FF99CC"/>
      <rgbColor rgb="00CC99FF"/>
      <rgbColor rgb="00FFCCCC"/>
      <rgbColor rgb="003366FF"/>
      <rgbColor rgb="0033CCCC"/>
      <rgbColor rgb="0099CC00"/>
      <rgbColor rgb="00FFDE59"/>
      <rgbColor rgb="00FF9900"/>
      <rgbColor rgb="00FF3366"/>
      <rgbColor rgb="00666699"/>
      <rgbColor rgb="00999999"/>
      <rgbColor rgb="00003366"/>
      <rgbColor rgb="00339966"/>
      <rgbColor rgb="00003300"/>
      <rgbColor rgb="004C19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nect2Car@CES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vicar.com/%00%00%00%00%00%00%00%00%00%00%00%00%00%00%00#Upcoming%00%00%00%00%00%00%00%00%00%00%00%00%00%00%00" TargetMode="External" /><Relationship Id="rId2" Type="http://schemas.openxmlformats.org/officeDocument/2006/relationships/hyperlink" Target="http://www.levicar.com/PROACCTIVE.php%00%00%00%00%00%00%00%00%00%00%00%00%00%00%00#Group-U%00%00%00%00%00%00%00%00%00%00%00%00%00%00%00" TargetMode="External" /><Relationship Id="rId3" Type="http://schemas.openxmlformats.org/officeDocument/2006/relationships/hyperlink" Target="http://www.LeviCar.com/LULU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95" zoomScaleNormal="95" workbookViewId="0" topLeftCell="A1">
      <selection activeCell="A4" sqref="A4"/>
    </sheetView>
  </sheetViews>
  <sheetFormatPr defaultColWidth="9.140625" defaultRowHeight="15.75" customHeight="1"/>
  <cols>
    <col min="1" max="1" width="20.421875" style="1" customWidth="1"/>
    <col min="2" max="2" width="2.421875" style="2" customWidth="1"/>
    <col min="3" max="3" width="12.421875" style="3" customWidth="1"/>
    <col min="4" max="4" width="11.421875" style="1" customWidth="1"/>
    <col min="5" max="5" width="10.421875" style="1" customWidth="1"/>
    <col min="6" max="6" width="15.421875" style="1" customWidth="1"/>
    <col min="7" max="58" width="10.421875" style="1" customWidth="1"/>
    <col min="59" max="16384" width="10.421875" style="0" customWidth="1"/>
  </cols>
  <sheetData>
    <row r="1" spans="1:6" ht="12.75" customHeight="1">
      <c r="A1" s="4" t="s">
        <v>0</v>
      </c>
      <c r="B1" s="5"/>
      <c r="C1" s="4"/>
      <c r="D1" s="6"/>
      <c r="E1" s="6"/>
      <c r="F1" s="7"/>
    </row>
    <row r="2" spans="1:6" ht="15.75" customHeight="1">
      <c r="A2" s="8">
        <f>"2021/12/10"</f>
        <v>0</v>
      </c>
      <c r="B2" s="5"/>
      <c r="C2" s="9" t="s">
        <v>1</v>
      </c>
      <c r="D2" s="10">
        <f>"238, 238, 238"</f>
        <v>0</v>
      </c>
      <c r="E2" s="4">
        <f>"EEEEEE"</f>
        <v>0</v>
      </c>
      <c r="F2" s="11" t="s">
        <v>2</v>
      </c>
    </row>
    <row r="3" spans="1:6" ht="15.75" customHeight="1">
      <c r="A3" s="12">
        <f>"13:28"</f>
        <v>0</v>
      </c>
      <c r="B3" s="5"/>
      <c r="C3" s="13" t="s">
        <v>3</v>
      </c>
      <c r="D3" s="10">
        <f>"204, 204, 204"</f>
        <v>0</v>
      </c>
      <c r="E3" s="4">
        <f>"CCCCCC"</f>
        <v>0</v>
      </c>
      <c r="F3" s="14" t="s">
        <v>4</v>
      </c>
    </row>
    <row r="4" spans="1:6" ht="15.75" customHeight="1">
      <c r="A4" s="15"/>
      <c r="B4" s="5"/>
      <c r="C4" s="16" t="s">
        <v>5</v>
      </c>
      <c r="D4" s="10">
        <f>"255, 255, 166"</f>
        <v>0</v>
      </c>
      <c r="E4" s="4">
        <f>"FFFFA6"</f>
        <v>0</v>
      </c>
      <c r="F4" s="17" t="s">
        <v>6</v>
      </c>
    </row>
    <row r="5" spans="1:6" ht="15.75" customHeight="1">
      <c r="A5" s="4" t="s">
        <v>7</v>
      </c>
      <c r="B5" s="5"/>
      <c r="C5" s="18" t="s">
        <v>8</v>
      </c>
      <c r="D5" s="10">
        <f>"255, 255, 109"</f>
        <v>0</v>
      </c>
      <c r="E5" s="4">
        <f>"FFFF6D"</f>
        <v>0</v>
      </c>
      <c r="F5" s="19" t="s">
        <v>9</v>
      </c>
    </row>
    <row r="6" spans="1:6" ht="15.75" customHeight="1">
      <c r="A6" s="4" t="s">
        <v>10</v>
      </c>
      <c r="B6" s="5"/>
      <c r="C6" s="20" t="s">
        <v>11</v>
      </c>
      <c r="D6" s="10" t="s">
        <v>12</v>
      </c>
      <c r="E6" s="4" t="s">
        <v>13</v>
      </c>
      <c r="F6" s="21" t="s">
        <v>14</v>
      </c>
    </row>
    <row r="7" spans="1:6" ht="15.75" customHeight="1">
      <c r="A7" s="6"/>
      <c r="B7" s="5"/>
      <c r="C7" s="22" t="s">
        <v>15</v>
      </c>
      <c r="D7" s="10" t="s">
        <v>16</v>
      </c>
      <c r="E7" s="4" t="s">
        <v>17</v>
      </c>
      <c r="F7" s="23" t="s">
        <v>18</v>
      </c>
    </row>
    <row r="8" spans="1:6" ht="15.75" customHeight="1">
      <c r="A8" s="24"/>
      <c r="B8" s="5"/>
      <c r="C8" s="25" t="s">
        <v>19</v>
      </c>
      <c r="D8" s="10">
        <f>"255, 51, 102"</f>
        <v>0</v>
      </c>
      <c r="E8" s="4">
        <f>"FF3366"</f>
        <v>0</v>
      </c>
      <c r="F8" s="7" t="s">
        <v>20</v>
      </c>
    </row>
    <row r="9" spans="1:6" ht="15.75" customHeight="1">
      <c r="A9"/>
      <c r="B9" s="5"/>
      <c r="C9" s="26" t="s">
        <v>21</v>
      </c>
      <c r="D9" s="10" t="s">
        <v>22</v>
      </c>
      <c r="E9" s="4" t="s">
        <v>23</v>
      </c>
      <c r="F9" s="7" t="s">
        <v>20</v>
      </c>
    </row>
    <row r="10" spans="1:2" ht="15.75" customHeight="1">
      <c r="A10"/>
      <c r="B10" s="5"/>
    </row>
    <row r="11" spans="1:3" ht="15.75" customHeight="1">
      <c r="A11"/>
      <c r="C11" s="1"/>
    </row>
    <row r="12" spans="1:3" ht="15.75" customHeight="1">
      <c r="A12"/>
      <c r="B12" s="27"/>
      <c r="C12" s="2"/>
    </row>
    <row r="13" spans="1:3" ht="15.75" customHeight="1">
      <c r="A13"/>
      <c r="C13" s="1"/>
    </row>
    <row r="14" spans="1:3" ht="15.75" customHeight="1">
      <c r="A14"/>
      <c r="C14" s="1"/>
    </row>
    <row r="15" spans="1:3" ht="15.75" customHeight="1">
      <c r="A15"/>
      <c r="C15" s="1"/>
    </row>
    <row r="16" spans="1:3" ht="15.75" customHeight="1">
      <c r="A16"/>
      <c r="B16" s="27"/>
      <c r="C16" s="3" t="s">
        <v>24</v>
      </c>
    </row>
    <row r="17" ht="15.75" customHeight="1">
      <c r="A17"/>
    </row>
    <row r="18" ht="15.75" customHeight="1">
      <c r="A18"/>
    </row>
    <row r="19" ht="15.75" customHeight="1">
      <c r="A19"/>
    </row>
    <row r="20" ht="15.75" customHeight="1">
      <c r="A20"/>
    </row>
    <row r="21" ht="15.75" customHeight="1">
      <c r="A21"/>
    </row>
    <row r="22" ht="15.75" customHeight="1">
      <c r="A22"/>
    </row>
    <row r="23" ht="15.75" customHeight="1">
      <c r="A23"/>
    </row>
    <row r="24" ht="15.75" customHeight="1">
      <c r="A24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7"/>
  <sheetViews>
    <sheetView tabSelected="1" zoomScale="95" zoomScaleNormal="95" workbookViewId="0" topLeftCell="A1">
      <pane xSplit="1" ySplit="2" topLeftCell="B419" activePane="bottomRight" state="frozen"/>
      <selection pane="topLeft" activeCell="A1" sqref="A1"/>
      <selection pane="topRight" activeCell="B1" sqref="B1"/>
      <selection pane="bottomLeft" activeCell="A419" sqref="A419"/>
      <selection pane="bottomRight" activeCell="A420" sqref="A420"/>
    </sheetView>
  </sheetViews>
  <sheetFormatPr defaultColWidth="9.140625" defaultRowHeight="15.75" customHeight="1"/>
  <cols>
    <col min="1" max="1" width="23.421875" style="28" customWidth="1"/>
    <col min="2" max="2" width="11.421875" style="29" customWidth="1"/>
    <col min="3" max="3" width="21.421875" style="30" customWidth="1"/>
    <col min="4" max="4" width="11.421875" style="31" customWidth="1"/>
    <col min="5" max="5" width="10.421875" style="32" customWidth="1"/>
    <col min="6" max="6" width="12.421875" style="31" customWidth="1"/>
    <col min="7" max="7" width="34.421875" style="33" customWidth="1"/>
    <col min="8" max="8" width="33.421875" style="34" customWidth="1"/>
    <col min="9" max="9" width="12.421875" style="35" customWidth="1"/>
    <col min="10" max="10" width="14.421875" style="36" customWidth="1"/>
    <col min="11" max="11" width="23.421875" style="37" customWidth="1"/>
    <col min="12" max="12" width="37.421875" style="38" customWidth="1"/>
    <col min="13" max="13" width="21.421875" style="39" customWidth="1"/>
    <col min="14" max="14" width="19.421875" style="40" customWidth="1"/>
    <col min="15" max="15" width="13.421875" style="41" customWidth="1"/>
    <col min="16" max="16" width="15.421875" style="42" customWidth="1"/>
    <col min="17" max="17" width="6.421875" style="43" customWidth="1"/>
    <col min="18" max="18" width="11.421875" style="44" customWidth="1"/>
    <col min="19" max="19" width="7.421875" style="45" customWidth="1"/>
    <col min="20" max="16384" width="7.421875" style="46" customWidth="1"/>
  </cols>
  <sheetData>
    <row r="1" spans="1:18" ht="12.75" customHeight="1">
      <c r="A1" s="47"/>
      <c r="B1" s="48"/>
      <c r="C1" s="49"/>
      <c r="D1" s="50"/>
      <c r="E1" s="51" t="s">
        <v>25</v>
      </c>
      <c r="F1" s="51"/>
      <c r="G1" s="51"/>
      <c r="H1" s="52"/>
      <c r="I1" s="53" t="s">
        <v>26</v>
      </c>
      <c r="J1" s="53"/>
      <c r="K1" s="53"/>
      <c r="L1" s="54" t="s">
        <v>27</v>
      </c>
      <c r="M1" s="54"/>
      <c r="N1" s="55" t="s">
        <v>28</v>
      </c>
      <c r="O1" s="56" t="s">
        <v>29</v>
      </c>
      <c r="P1" s="56"/>
      <c r="Q1" s="56"/>
      <c r="R1" s="57" t="s">
        <v>30</v>
      </c>
    </row>
    <row r="2" spans="1:18" ht="12.75" customHeight="1">
      <c r="A2" s="58" t="s">
        <v>31</v>
      </c>
      <c r="B2" s="58" t="s">
        <v>32</v>
      </c>
      <c r="C2" s="58" t="s">
        <v>33</v>
      </c>
      <c r="D2" s="59" t="s">
        <v>34</v>
      </c>
      <c r="E2" s="60" t="s">
        <v>35</v>
      </c>
      <c r="F2" s="59" t="s">
        <v>36</v>
      </c>
      <c r="G2" s="61" t="s">
        <v>37</v>
      </c>
      <c r="H2" s="62" t="s">
        <v>38</v>
      </c>
      <c r="I2" s="63" t="s">
        <v>31</v>
      </c>
      <c r="J2" s="64" t="s">
        <v>39</v>
      </c>
      <c r="K2" s="65" t="s">
        <v>40</v>
      </c>
      <c r="L2" s="66" t="s">
        <v>41</v>
      </c>
      <c r="M2" s="67" t="s">
        <v>42</v>
      </c>
      <c r="N2" s="55"/>
      <c r="O2" s="68" t="s">
        <v>43</v>
      </c>
      <c r="P2" s="69" t="s">
        <v>44</v>
      </c>
      <c r="Q2" s="70" t="s">
        <v>45</v>
      </c>
      <c r="R2" s="57"/>
    </row>
    <row r="3" spans="1:64" ht="78.75" customHeight="1">
      <c r="A3" s="71" t="s">
        <v>46</v>
      </c>
      <c r="B3" s="72" t="s">
        <v>47</v>
      </c>
      <c r="C3" s="73">
        <f>"https://www.ces.tech/?gclid=CjwKCAiAz4b_BRBbEiwA5XlVVijg5Dpfa-foudaFlmv2zFOl3RL5OCSIL_iBx94dY_w5w4awoxZslhoC6dYQAvD_BwE"</f>
        <v>0</v>
      </c>
      <c r="D3" s="74" t="s">
        <v>48</v>
      </c>
      <c r="E3" s="75" t="s">
        <v>49</v>
      </c>
      <c r="F3" s="74" t="s">
        <v>50</v>
      </c>
      <c r="G3" s="76">
        <f>"An all-digital CES 2021 will allow the entire tech community to safely share ideas and introduce the products that will shape our future."</f>
        <v>0</v>
      </c>
      <c r="H3" s="77">
        <f>"CES / SAE Main Site:  https://saemobilus.sae.org/automated-connected/event/ces-2020"</f>
        <v>0</v>
      </c>
      <c r="I3" s="78"/>
      <c r="J3" s="79"/>
      <c r="K3" s="80"/>
      <c r="L3" s="81"/>
      <c r="M3" s="82"/>
      <c r="N3" s="83"/>
      <c r="O3" s="84" t="s">
        <v>51</v>
      </c>
      <c r="P3" s="74" t="s">
        <v>52</v>
      </c>
      <c r="Q3" s="85" t="s">
        <v>53</v>
      </c>
      <c r="R3" s="86" t="s">
        <v>54</v>
      </c>
      <c r="S3" s="87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4" s="102" customFormat="1" ht="55.5" customHeight="1">
      <c r="A4" s="89" t="s">
        <v>55</v>
      </c>
      <c r="B4" s="90" t="s">
        <v>56</v>
      </c>
      <c r="C4" s="91">
        <f>"https://www.sae.org/attend/connect2car-ces"</f>
        <v>0</v>
      </c>
      <c r="D4" s="92" t="s">
        <v>48</v>
      </c>
      <c r="E4" s="93" t="s">
        <v>57</v>
      </c>
      <c r="F4" s="92" t="s">
        <v>58</v>
      </c>
      <c r="G4" s="94" t="s">
        <v>59</v>
      </c>
      <c r="H4" s="95"/>
      <c r="I4" s="96"/>
      <c r="J4" s="97"/>
      <c r="K4" s="98">
        <f>"Contact &amp; FAQ:  https://saemobilus.sae.org/automated-connected/contact-us/"</f>
        <v>0</v>
      </c>
      <c r="L4" s="99"/>
      <c r="M4" s="100"/>
      <c r="N4" s="101"/>
      <c r="O4" s="84"/>
      <c r="P4" s="74"/>
      <c r="Q4" s="85"/>
      <c r="R4" s="86"/>
      <c r="S4" s="87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s="109" customFormat="1" ht="51.75" customHeight="1">
      <c r="A5" s="89">
        <f>"Free Webinar: Avnet Transportation Tuesday with STMicroelectronics: Li-Ion Battery Charging"</f>
        <v>0</v>
      </c>
      <c r="B5" s="90" t="s">
        <v>60</v>
      </c>
      <c r="C5" s="103">
        <f>"https://event.on24.com/eventRegistration/EventLobbyServlet?target=reg20.jsp&amp;partnerref=techtalk&amp;mkt_tok=eyJpIjoiWVRGallqTXhOakV4TkdJeCIsInQiOiJCNjBYand2NjM3WjBLQXhXRGtvaVR2NzM1UGVyR3FLUVwvUHpoRlJwUnBmTnllM1FnTFBtM01waVhKVnZ0dUdPaEFDUHowbWJ0NTBNTjhjT0MybUl"</f>
        <v>0</v>
      </c>
      <c r="D5" s="103"/>
      <c r="E5" s="93" t="s">
        <v>61</v>
      </c>
      <c r="F5" s="92" t="s">
        <v>62</v>
      </c>
      <c r="G5" s="94">
        <f>"Optimize lithium-ion battery performance, range, life, safety and reliability"</f>
        <v>0</v>
      </c>
      <c r="H5" s="104">
        <f>"&lt;b&gt;John&amp;nbsp;Johnson&lt;/b&gt;, Autom. Sys. Marketing, STMicroelectronics"</f>
        <v>0</v>
      </c>
      <c r="I5" s="96"/>
      <c r="J5" s="105"/>
      <c r="K5" s="98"/>
      <c r="L5" s="106"/>
      <c r="M5" s="92"/>
      <c r="N5" s="107"/>
      <c r="O5" s="106" t="s">
        <v>63</v>
      </c>
      <c r="P5" s="92">
        <f>"https://www.avnet.com/wps/portal/us/resources/training-and-events/"</f>
        <v>0</v>
      </c>
      <c r="Q5" s="107" t="s">
        <v>64</v>
      </c>
      <c r="R5" s="108" t="s">
        <v>65</v>
      </c>
      <c r="S5" s="87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64" s="102" customFormat="1" ht="51.75" customHeight="1">
      <c r="A6" s="89"/>
      <c r="B6" s="90"/>
      <c r="C6" s="103"/>
      <c r="D6" s="103"/>
      <c r="E6" s="93"/>
      <c r="F6" s="92"/>
      <c r="G6" s="94"/>
      <c r="H6" s="104">
        <f>"&lt;b&gt;Jason&amp;nbsp;Struble&lt;/b&gt;, Transp. Supplier Mgr., Avnet"</f>
        <v>0</v>
      </c>
      <c r="I6" s="96"/>
      <c r="J6" s="105"/>
      <c r="K6" s="98"/>
      <c r="L6" s="106"/>
      <c r="M6" s="92"/>
      <c r="N6" s="107"/>
      <c r="O6" s="106"/>
      <c r="P6" s="92"/>
      <c r="Q6" s="107"/>
      <c r="R6" s="108"/>
      <c r="S6" s="87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s="102" customFormat="1" ht="33.75" customHeight="1">
      <c r="A7" s="89" t="s">
        <v>66</v>
      </c>
      <c r="B7" s="90" t="s">
        <v>67</v>
      </c>
      <c r="C7" s="103">
        <f>"https://www.act-news.com/webinar/ev-fleets-101-building-your-ev-infrastructure-plan/"</f>
        <v>0</v>
      </c>
      <c r="D7" s="92"/>
      <c r="E7" s="93" t="s">
        <v>68</v>
      </c>
      <c r="F7" s="92" t="s">
        <v>69</v>
      </c>
      <c r="G7" s="94">
        <f>"&amp;hellip; we&amp;rsquo;ll discuss the key pieces of information required to effectively plan for an EV fleet &amp;hellip;"</f>
        <v>0</v>
      </c>
      <c r="H7" s="104">
        <f>"&lt;b&gt;Shana&amp;nbsp;Patadia&lt;/b&gt;, Energy Solutions Dir., ChargePoint"</f>
        <v>0</v>
      </c>
      <c r="I7" s="96"/>
      <c r="J7" s="97"/>
      <c r="K7" s="98"/>
      <c r="L7" s="99">
        <f>"registration:  http://subscribe.act-news.com/ChargePoint_Webinar1_Registration"</f>
        <v>0</v>
      </c>
      <c r="M7" s="100"/>
      <c r="N7" s="101"/>
      <c r="O7" s="110" t="s">
        <v>70</v>
      </c>
      <c r="P7" s="92" t="s">
        <v>71</v>
      </c>
      <c r="Q7" s="107" t="s">
        <v>64</v>
      </c>
      <c r="R7" s="108" t="s">
        <v>65</v>
      </c>
      <c r="S7" s="87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19" s="102" customFormat="1" ht="65.25" customHeight="1">
      <c r="A8" s="89">
        <f>"Free Webinar:  Selecting safe and reliable components for high-voltage EVs"</f>
        <v>0</v>
      </c>
      <c r="B8" s="90" t="s">
        <v>72</v>
      </c>
      <c r="C8" s="103">
        <f>"https://chargedevs.com/newswire/selecting-safe-and-reliable-components-for-high-voltage-evs-webinar/"</f>
        <v>0</v>
      </c>
      <c r="D8" s="92"/>
      <c r="E8" s="93" t="s">
        <v>73</v>
      </c>
      <c r="F8" s="92" t="s">
        <v>74</v>
      </c>
      <c r="G8" s="94">
        <f>"[with] several manufacturers slated to release EVs with 800 V battery systems in 2021, using high-voltage battery systems in EVs is no longer just theoretical."</f>
        <v>0</v>
      </c>
      <c r="H8" s="104">
        <f>"&lt;b&gt;Patrick&amp;nbsp;Couch&lt;/b&gt;,  Sr. VP, Techn. Services, GNA"</f>
        <v>0</v>
      </c>
      <c r="I8" s="96"/>
      <c r="J8" s="97"/>
      <c r="K8" s="98"/>
      <c r="L8" s="99">
        <f>"Registration:  https://us02web.zoom.us/webinar/register/5216077211681/WN_AxMbNhK_QKi2NS9eF8OAQg"</f>
        <v>0</v>
      </c>
      <c r="M8" s="100"/>
      <c r="N8" s="101"/>
      <c r="O8" s="110" t="s">
        <v>75</v>
      </c>
      <c r="P8" s="92" t="s">
        <v>76</v>
      </c>
      <c r="Q8" s="107" t="s">
        <v>64</v>
      </c>
      <c r="R8" s="108" t="s">
        <v>65</v>
      </c>
      <c r="S8" s="87"/>
    </row>
    <row r="9" spans="1:64" s="102" customFormat="1" ht="73.5" customHeight="1">
      <c r="A9" s="89" t="s">
        <v>77</v>
      </c>
      <c r="B9" s="90" t="s">
        <v>78</v>
      </c>
      <c r="C9" s="103">
        <f>"https://register.gotowebinar.com/register/1107652821403058703"</f>
        <v>0</v>
      </c>
      <c r="D9" s="92"/>
      <c r="E9" s="93" t="s">
        <v>79</v>
      </c>
      <c r="F9" s="92" t="s">
        <v>80</v>
      </c>
      <c r="G9" s="94">
        <f>"Network Planning Tool (NPT) [is] a machine-learning technology to predict electric vehicle adoption and demand, and plan charging infrastructure accordingly."</f>
        <v>0</v>
      </c>
      <c r="H9" s="104" t="s">
        <v>81</v>
      </c>
      <c r="I9" s="96"/>
      <c r="J9" s="105"/>
      <c r="K9" s="98"/>
      <c r="L9" s="106" t="s">
        <v>82</v>
      </c>
      <c r="M9" s="111"/>
      <c r="N9" s="112"/>
      <c r="O9" s="106" t="s">
        <v>83</v>
      </c>
      <c r="P9" s="92" t="s">
        <v>84</v>
      </c>
      <c r="Q9" s="107" t="s">
        <v>64</v>
      </c>
      <c r="R9" s="108" t="s">
        <v>65</v>
      </c>
      <c r="S9" s="87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19" s="102" customFormat="1" ht="65.25" customHeight="1">
      <c r="A10" s="89">
        <f>"Free Webinar:  Selecting safe and reliable components for high-voltage EVs"</f>
        <v>0</v>
      </c>
      <c r="B10" s="90" t="s">
        <v>72</v>
      </c>
      <c r="C10" s="103">
        <f>"https://chargedevs.com/newswire/selecting-safe-and-reliable-components-for-high-voltage-evs-webinar/"</f>
        <v>0</v>
      </c>
      <c r="D10" s="92"/>
      <c r="E10" s="93" t="s">
        <v>73</v>
      </c>
      <c r="F10" s="92" t="s">
        <v>74</v>
      </c>
      <c r="G10" s="94">
        <f>"[with] several manufacturers slated to release EVs with 800 V battery systems in 2021, using high-voltage battery systems in EVs is no longer just theoretical."</f>
        <v>0</v>
      </c>
      <c r="H10" s="104">
        <f>"&lt;b&gt;Steve&amp;nbsp;Hopwood,&lt;/b&gt; Sr. Appl. Eng. &amp; Engineering Mgr, Knowles Precision&amp;nbsp;Devices"</f>
        <v>0</v>
      </c>
      <c r="I10" s="96"/>
      <c r="J10" s="97"/>
      <c r="K10" s="98"/>
      <c r="L10" s="113">
        <f>"Registration:  https://us02web.zoom.us/webinar/register/5216077211681/WN_AxMbNhK_QKi2NS9eF8OAQg"</f>
        <v>0</v>
      </c>
      <c r="M10" s="100"/>
      <c r="N10" s="98"/>
      <c r="O10" s="114" t="s">
        <v>75</v>
      </c>
      <c r="P10" s="115" t="s">
        <v>76</v>
      </c>
      <c r="Q10" s="116" t="s">
        <v>64</v>
      </c>
      <c r="R10" s="108" t="s">
        <v>65</v>
      </c>
      <c r="S10" s="87"/>
    </row>
    <row r="11" spans="1:64" ht="65.25" customHeight="1">
      <c r="A11" s="89" t="s">
        <v>85</v>
      </c>
      <c r="B11" s="90" t="s">
        <v>86</v>
      </c>
      <c r="C11" s="103">
        <f>"http://transportationcamp.org/events/dc2021/"</f>
        <v>0</v>
      </c>
      <c r="D11" s="92" t="s">
        <v>87</v>
      </c>
      <c r="E11" s="93" t="s">
        <v>88</v>
      </c>
      <c r="F11" s="92" t="s">
        <v>89</v>
      </c>
      <c r="G11" s="94" t="s">
        <v>90</v>
      </c>
      <c r="H11" s="104">
        <f>"Registration:  https://www.eventbrite.com/e/transportationcamp-dc-2021-tickets-125923174605"</f>
        <v>0</v>
      </c>
      <c r="I11" s="96"/>
      <c r="J11" s="105"/>
      <c r="K11" s="117">
        <f>"Series link:  http://transportationcamp.org/"</f>
        <v>0</v>
      </c>
      <c r="L11" s="113">
        <f>"Essential guide:  http://transportationcamp.org/2011/02/how-transportationcamp-works-the-essential-guide/"</f>
        <v>0</v>
      </c>
      <c r="M11" s="113"/>
      <c r="N11" s="116"/>
      <c r="O11" s="106"/>
      <c r="P11" s="92"/>
      <c r="Q11" s="107" t="s">
        <v>53</v>
      </c>
      <c r="R11" s="118" t="s">
        <v>91</v>
      </c>
      <c r="S11" s="87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s="102" customFormat="1" ht="42" customHeight="1">
      <c r="A12" s="89">
        <f>"Advanced Automotive Battery Conference &amp;ndash; Europe"</f>
        <v>0</v>
      </c>
      <c r="B12" s="92" t="s">
        <v>92</v>
      </c>
      <c r="C12" s="92">
        <f>"https://www.advancedautobat.com/europe/"</f>
        <v>0</v>
      </c>
      <c r="D12" s="92" t="s">
        <v>93</v>
      </c>
      <c r="E12" s="93" t="s">
        <v>94</v>
      </c>
      <c r="F12" s="92">
        <f>"aabc-wh-E.png    237 x 115"</f>
        <v>0</v>
      </c>
      <c r="G12" s="119" t="s">
        <v>95</v>
      </c>
      <c r="H12" s="104"/>
      <c r="I12" s="97">
        <f>"Apply to receive brochure and e-mails:  https://www.advancedautobat.com/europe/2020-brochure-download-form"</f>
        <v>0</v>
      </c>
      <c r="J12" s="97"/>
      <c r="K12" s="97"/>
      <c r="L12" s="99">
        <f>"Speaker proposal:  https://www.advancedautobat.com/europe/speaker-proposal"</f>
        <v>0</v>
      </c>
      <c r="M12" s="99"/>
      <c r="N12" s="101">
        <f>"Priority consideration:  2020/07/10 (soft deadline)"</f>
        <v>0</v>
      </c>
      <c r="O12" s="106" t="s">
        <v>96</v>
      </c>
      <c r="P12" s="92" t="s">
        <v>97</v>
      </c>
      <c r="Q12" s="107" t="s">
        <v>64</v>
      </c>
      <c r="R12" s="108" t="s">
        <v>65</v>
      </c>
      <c r="S12" s="87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64" s="102" customFormat="1" ht="27.75" customHeight="1">
      <c r="A13" s="89"/>
      <c r="B13" s="92"/>
      <c r="C13" s="92"/>
      <c r="D13" s="92"/>
      <c r="E13" s="92"/>
      <c r="F13" s="92"/>
      <c r="G13" s="119"/>
      <c r="H13" s="104"/>
      <c r="I13" s="96" t="s">
        <v>98</v>
      </c>
      <c r="J13" s="97">
        <f>"vox: (781) 972-5400"</f>
        <v>0</v>
      </c>
      <c r="K13" s="98">
        <f>"mailto:ce@cambridgeenertech.com"</f>
        <v>0</v>
      </c>
      <c r="L13" s="99">
        <f>"Registration and pricing:  https://chidb.com/reg/aabe/reg.asp"</f>
        <v>0</v>
      </c>
      <c r="M13" s="99"/>
      <c r="N13" s="101"/>
      <c r="O13" s="106"/>
      <c r="P13" s="92"/>
      <c r="Q13" s="107"/>
      <c r="R13" s="108"/>
      <c r="S13" s="87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s="102" customFormat="1" ht="30" customHeight="1">
      <c r="A14" s="89"/>
      <c r="B14" s="92"/>
      <c r="C14" s="92"/>
      <c r="D14" s="92"/>
      <c r="E14" s="92"/>
      <c r="F14" s="92"/>
      <c r="G14" s="119"/>
      <c r="H14" s="104"/>
      <c r="I14" s="96"/>
      <c r="J14" s="97">
        <f>"fax: (781) 972-5425"</f>
        <v>0</v>
      </c>
      <c r="K14" s="98"/>
      <c r="L14" s="99">
        <f>"Sponsorship &amp; Exhibit Opportunities:  https://www.advancedautobat.com/europe/sponsor-exhibit"</f>
        <v>0</v>
      </c>
      <c r="M14" s="99"/>
      <c r="N14" s="101"/>
      <c r="O14" s="106"/>
      <c r="P14" s="92"/>
      <c r="Q14" s="107"/>
      <c r="R14" s="108"/>
      <c r="S14" s="87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s="102" customFormat="1" ht="28.5" customHeight="1">
      <c r="A15" s="89"/>
      <c r="B15" s="92"/>
      <c r="C15" s="92"/>
      <c r="D15" s="92"/>
      <c r="E15" s="92"/>
      <c r="F15" s="92"/>
      <c r="G15" s="119"/>
      <c r="H15" s="104"/>
      <c r="I15" s="120">
        <f>"Problems?  contact David Cunningham"</f>
        <v>0</v>
      </c>
      <c r="J15" s="121">
        <f>"781-972-5472"</f>
        <v>0</v>
      </c>
      <c r="K15" s="122" t="s">
        <v>99</v>
      </c>
      <c r="L15" s="99">
        <f>"Posters:  https://www.advancedautobat.com/europe/posters"</f>
        <v>0</v>
      </c>
      <c r="M15" s="99"/>
      <c r="N15" s="101" t="s">
        <v>100</v>
      </c>
      <c r="O15" s="106"/>
      <c r="P15" s="92"/>
      <c r="Q15" s="107"/>
      <c r="R15" s="108"/>
      <c r="S15" s="87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s="102" customFormat="1" ht="30" customHeight="1">
      <c r="A16" s="89"/>
      <c r="B16" s="92"/>
      <c r="C16" s="92"/>
      <c r="D16" s="92"/>
      <c r="E16" s="92"/>
      <c r="F16" s="92"/>
      <c r="G16" s="119"/>
      <c r="H16" s="104"/>
      <c r="I16" s="120"/>
      <c r="J16" s="121"/>
      <c r="K16" s="122"/>
      <c r="L16" s="99"/>
      <c r="M16" s="99"/>
      <c r="N16" s="101" t="s">
        <v>101</v>
      </c>
      <c r="O16" s="106"/>
      <c r="P16" s="92"/>
      <c r="Q16" s="107"/>
      <c r="R16" s="108"/>
      <c r="S16" s="87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64" ht="33.75" customHeight="1">
      <c r="A17" s="89"/>
      <c r="B17" s="92"/>
      <c r="C17" s="92"/>
      <c r="D17" s="92"/>
      <c r="E17" s="93"/>
      <c r="F17" s="92"/>
      <c r="G17" s="119"/>
      <c r="H17" s="104"/>
      <c r="I17" s="120"/>
      <c r="J17" s="120"/>
      <c r="K17" s="122"/>
      <c r="L17" s="99"/>
      <c r="M17" s="99"/>
      <c r="N17" s="101">
        <f>"2021/01/19 if there is room"</f>
        <v>0</v>
      </c>
      <c r="O17" s="106"/>
      <c r="P17" s="92"/>
      <c r="Q17" s="107"/>
      <c r="R17" s="108"/>
      <c r="S17" s="87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s="102" customFormat="1" ht="39" customHeight="1">
      <c r="A18" s="89">
        <f>"Free Webinar:&amp;nbsp; Anniversary of the EV Law: Where We Go From Here"</f>
        <v>0</v>
      </c>
      <c r="B18" s="92" t="s">
        <v>102</v>
      </c>
      <c r="C18" s="92">
        <f>"https://environmentnewjersey.webaction.org/p/salsa/event/common/public/?event_KEY=1024"</f>
        <v>0</v>
      </c>
      <c r="D18" s="92"/>
      <c r="E18" s="92" t="s">
        <v>103</v>
      </c>
      <c r="F18" s="92" t="s">
        <v>104</v>
      </c>
      <c r="G18" s="119">
        <f>"&amp;hellip; celebrate the anniversary of New Jersey&amp;rsquo;s electric vehicle law, discuss the state&amp;rsquo;s ambitious electrification goals, and highlight the need to push for more."</f>
        <v>0</v>
      </c>
      <c r="H18" s="104">
        <f>"&lt;b&gt;Peg&amp;nbsp;Hanna&lt;/b&gt;, Ass&amp;rsquo;t Dir., Air Monitoring &amp; Mobile Sources , NJ DEP"</f>
        <v>0</v>
      </c>
      <c r="I18" s="123"/>
      <c r="J18" s="97"/>
      <c r="K18" s="124"/>
      <c r="L18" s="99"/>
      <c r="M18" s="100"/>
      <c r="N18" s="101"/>
      <c r="O18" s="106"/>
      <c r="P18" s="92"/>
      <c r="Q18" s="107"/>
      <c r="R18" s="118" t="s">
        <v>54</v>
      </c>
      <c r="S18" s="87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64" s="102" customFormat="1" ht="25.5" customHeight="1">
      <c r="A19" s="89"/>
      <c r="B19" s="92"/>
      <c r="C19" s="92"/>
      <c r="D19" s="92"/>
      <c r="E19" s="92"/>
      <c r="F19" s="92"/>
      <c r="G19" s="119"/>
      <c r="H19" s="104">
        <f>"&lt;b&gt;Bob&amp;nbsp;Smith&lt;/b&gt;, NJ State Senator"</f>
        <v>0</v>
      </c>
      <c r="I19" s="123"/>
      <c r="J19" s="97"/>
      <c r="K19" s="124"/>
      <c r="L19" s="99"/>
      <c r="M19" s="100"/>
      <c r="N19" s="101"/>
      <c r="O19" s="106"/>
      <c r="P19" s="92"/>
      <c r="Q19" s="107"/>
      <c r="R19" s="107"/>
      <c r="S19" s="87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s="102" customFormat="1" ht="33" customHeight="1">
      <c r="A20" s="89"/>
      <c r="B20" s="92"/>
      <c r="C20" s="92"/>
      <c r="D20" s="92"/>
      <c r="E20" s="92"/>
      <c r="F20" s="92"/>
      <c r="G20" s="119"/>
      <c r="H20" s="104">
        <f>"&lt;b&gt;Daniel&amp;nbsp;Benson&lt;/b&gt;, NJ State Assemblyman"</f>
        <v>0</v>
      </c>
      <c r="I20" s="123"/>
      <c r="J20" s="97"/>
      <c r="K20" s="124"/>
      <c r="L20" s="99"/>
      <c r="M20" s="100"/>
      <c r="N20" s="101"/>
      <c r="O20" s="106"/>
      <c r="P20" s="92"/>
      <c r="Q20" s="107"/>
      <c r="R20" s="107"/>
      <c r="S20" s="8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64" s="102" customFormat="1" ht="18.75" customHeight="1">
      <c r="A21" s="89"/>
      <c r="B21" s="92"/>
      <c r="C21" s="92"/>
      <c r="D21" s="92"/>
      <c r="E21" s="92"/>
      <c r="F21" s="92"/>
      <c r="G21" s="119"/>
      <c r="H21" s="104">
        <f>"&lt;b&gt;Pam&amp;nbsp;Frank&lt;/b&gt;, CEO, ChargEVC"</f>
        <v>0</v>
      </c>
      <c r="I21" s="123"/>
      <c r="J21" s="97"/>
      <c r="K21" s="124"/>
      <c r="L21" s="99"/>
      <c r="M21" s="100"/>
      <c r="N21" s="101"/>
      <c r="O21" s="106"/>
      <c r="P21" s="92"/>
      <c r="Q21" s="107"/>
      <c r="R21" s="107"/>
      <c r="S21" s="87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2" spans="1:64" ht="29.25" customHeight="1">
      <c r="A22" s="125" t="s">
        <v>105</v>
      </c>
      <c r="B22" s="126" t="s">
        <v>106</v>
      </c>
      <c r="C22" s="127">
        <f>"https://siat.araiindia.com/"</f>
        <v>0</v>
      </c>
      <c r="D22" s="128" t="s">
        <v>107</v>
      </c>
      <c r="E22" s="129" t="s">
        <v>108</v>
      </c>
      <c r="F22" s="128" t="s">
        <v>109</v>
      </c>
      <c r="G22" s="130" t="s">
        <v>110</v>
      </c>
      <c r="H22" s="131" t="s">
        <v>111</v>
      </c>
      <c r="I22" s="132"/>
      <c r="J22" s="133"/>
      <c r="K22" s="134"/>
      <c r="L22" s="113">
        <f>"First Announcement:  https://siat.araiindia.com/First%20Announcement%202021_Final.pdf"</f>
        <v>0</v>
      </c>
      <c r="M22" s="100">
        <f>"mailto:siat2021@araiindia.com"</f>
        <v>0</v>
      </c>
      <c r="N22" s="116">
        <f>"Abstracts due 2020/06/15 (extended from 04/15)"</f>
        <v>0</v>
      </c>
      <c r="O22" s="135" t="s">
        <v>51</v>
      </c>
      <c r="P22" s="128" t="s">
        <v>52</v>
      </c>
      <c r="Q22" s="136" t="s">
        <v>64</v>
      </c>
      <c r="R22" s="137" t="s">
        <v>65</v>
      </c>
      <c r="S22" s="87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</row>
    <row r="23" spans="1:64" ht="102" customHeight="1">
      <c r="A23" s="125"/>
      <c r="B23" s="126"/>
      <c r="C23" s="127"/>
      <c r="D23" s="128"/>
      <c r="E23" s="128"/>
      <c r="F23" s="128"/>
      <c r="G23" s="130"/>
      <c r="H23" s="131"/>
      <c r="I23" s="132"/>
      <c r="J23" s="133"/>
      <c r="K23" s="134"/>
      <c r="L23" s="113"/>
      <c r="M23" s="100">
        <f>"https://www.sae.org/servlets/techpapers/enterAbstractForPapers.do?method=formView&amp;evtSchedGenNum=311051&amp;prodGrpCd=SPEC&amp;evtName=SIAT"</f>
        <v>0</v>
      </c>
      <c r="N23" s="116"/>
      <c r="O23" s="135"/>
      <c r="P23" s="128"/>
      <c r="Q23" s="136"/>
      <c r="R23" s="136"/>
      <c r="S23" s="8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64" ht="44.25" customHeight="1">
      <c r="A24" s="89" t="s">
        <v>112</v>
      </c>
      <c r="B24" s="90" t="s">
        <v>113</v>
      </c>
      <c r="C24" s="103">
        <f>"http://www.trb.org/AnnualMeeting/AnnualMeeting.aspx"</f>
        <v>0</v>
      </c>
      <c r="D24" s="92" t="s">
        <v>114</v>
      </c>
      <c r="E24" s="93" t="s">
        <v>115</v>
      </c>
      <c r="F24" s="92" t="s">
        <v>116</v>
      </c>
      <c r="G24" s="94" t="s">
        <v>117</v>
      </c>
      <c r="H24" s="104"/>
      <c r="I24" s="138">
        <f>"Exhibitor's Information:  https://events.jspargo.com/trb21/public/enter.aspx"</f>
        <v>0</v>
      </c>
      <c r="J24" s="138"/>
      <c r="K24" s="139">
        <f>"http://www.trb.org/AnnualMeeting/ContactUs1.aspx"</f>
        <v>0</v>
      </c>
      <c r="L24" s="99">
        <f>"http://www.trb.org/AnnualMeeting/CallForPaper.aspx"</f>
        <v>0</v>
      </c>
      <c r="M24" s="100">
        <f>"TRB login:  https://www.editorialmanager.com/trr/default.aspx"</f>
        <v>0</v>
      </c>
      <c r="N24" s="101">
        <f>"Papers due: 2020/08/01"</f>
        <v>0</v>
      </c>
      <c r="O24" s="106" t="s">
        <v>118</v>
      </c>
      <c r="P24" s="92">
        <f>"http://www.trb.org/Calendar/Calendar.aspx"</f>
        <v>0</v>
      </c>
      <c r="Q24" s="107" t="s">
        <v>64</v>
      </c>
      <c r="R24" s="108" t="s">
        <v>65</v>
      </c>
      <c r="S24" s="140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64" ht="61.5" customHeight="1">
      <c r="A25" s="89"/>
      <c r="B25" s="90"/>
      <c r="C25" s="103"/>
      <c r="D25" s="92"/>
      <c r="E25" s="93"/>
      <c r="F25" s="92"/>
      <c r="G25" s="94"/>
      <c r="H25" s="104"/>
      <c r="I25" s="138" t="s">
        <v>119</v>
      </c>
      <c r="J25" s="138"/>
      <c r="K25" s="141" t="s">
        <v>120</v>
      </c>
      <c r="L25" s="113">
        <f>"Committees and Approved Subject Areas:  https://annualmeeting.mytrb.org/CallForPapers/index"</f>
        <v>0</v>
      </c>
      <c r="M25" s="100" t="s">
        <v>121</v>
      </c>
      <c r="N25" s="116"/>
      <c r="O25" s="106"/>
      <c r="P25" s="92"/>
      <c r="Q25" s="107"/>
      <c r="R25" s="108"/>
      <c r="S25" s="87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61.5" customHeight="1">
      <c r="A26" s="89"/>
      <c r="B26" s="90"/>
      <c r="C26" s="127">
        <f>"http://www.trb.org/Calendar/Blurbs/179047.aspx"</f>
        <v>0</v>
      </c>
      <c r="D26" s="92"/>
      <c r="E26" s="93"/>
      <c r="F26" s="92"/>
      <c r="G26" s="94"/>
      <c r="H26" s="104"/>
      <c r="I26" s="142"/>
      <c r="J26" s="143"/>
      <c r="K26" s="141"/>
      <c r="L26" s="113">
        <f>"registration:  http://www.trb.org/AnnualMeeting/Registration.aspx"</f>
        <v>0</v>
      </c>
      <c r="M26" s="100"/>
      <c r="N26" s="116"/>
      <c r="O26" s="106"/>
      <c r="P26" s="92"/>
      <c r="Q26" s="107"/>
      <c r="R26" s="108"/>
      <c r="S26" s="87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64" s="102" customFormat="1" ht="36" customHeight="1">
      <c r="A27" s="89" t="s">
        <v>122</v>
      </c>
      <c r="B27" s="90" t="s">
        <v>123</v>
      </c>
      <c r="C27" s="103">
        <f>"https://wardsauto.informa.com/automotive-tech-week-megatrends/"</f>
        <v>0</v>
      </c>
      <c r="D27" s="92" t="s">
        <v>124</v>
      </c>
      <c r="E27" s="93" t="s">
        <v>125</v>
      </c>
      <c r="F27" s="92" t="s">
        <v>126</v>
      </c>
      <c r="G27" s="94" t="s">
        <v>127</v>
      </c>
      <c r="H27" s="104"/>
      <c r="I27" s="144" t="s">
        <v>128</v>
      </c>
      <c r="J27" s="144"/>
      <c r="K27" s="145">
        <f>"mailto:sanjay.singh@informa.com"</f>
        <v>0</v>
      </c>
      <c r="L27" s="113">
        <f>"Register or Login:  https://automotive.informatech.com/megatrends/2021/registrations/Attendee"</f>
        <v>0</v>
      </c>
      <c r="M27" s="100">
        <f>"Draft Agenda:  https://wardsauto.informa.com/agenda-automotive-tech-week-megatrends/"</f>
        <v>0</v>
      </c>
      <c r="N27" s="116"/>
      <c r="O27" s="106" t="s">
        <v>129</v>
      </c>
      <c r="P27" s="92" t="s">
        <v>130</v>
      </c>
      <c r="Q27" s="107" t="s">
        <v>64</v>
      </c>
      <c r="R27" s="108" t="s">
        <v>65</v>
      </c>
      <c r="S27" s="87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</row>
    <row r="28" spans="1:64" s="102" customFormat="1" ht="54" customHeight="1">
      <c r="A28" s="89"/>
      <c r="B28" s="90"/>
      <c r="C28" s="103"/>
      <c r="D28" s="92"/>
      <c r="E28" s="93"/>
      <c r="F28" s="92"/>
      <c r="G28" s="94"/>
      <c r="H28" s="104"/>
      <c r="I28" s="142">
        <f>"Content &amp; Speaking Inquiries:   Caroline Hicks"</f>
        <v>0</v>
      </c>
      <c r="J28" s="143">
        <f>"+44 (0)746 453 1583"</f>
        <v>0</v>
      </c>
      <c r="K28" s="146">
        <f>"mailto:caroline.hicks@informa.com"</f>
        <v>0</v>
      </c>
      <c r="L28" s="113"/>
      <c r="M28" s="100"/>
      <c r="N28" s="116"/>
      <c r="O28" s="106"/>
      <c r="P28" s="92"/>
      <c r="Q28" s="107"/>
      <c r="R28" s="108"/>
      <c r="S28" s="87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64" s="102" customFormat="1" ht="53.25" customHeight="1">
      <c r="A29" s="89"/>
      <c r="B29" s="90"/>
      <c r="C29" s="103"/>
      <c r="D29" s="92"/>
      <c r="E29" s="93"/>
      <c r="F29" s="92"/>
      <c r="G29" s="94"/>
      <c r="H29" s="104"/>
      <c r="I29" s="142">
        <f>"Exhibition &amp; Sponsorship Inquiries: Sanjay Singh"</f>
        <v>0</v>
      </c>
      <c r="J29" s="143">
        <f>"+44(0) 207 551 9828"</f>
        <v>0</v>
      </c>
      <c r="K29" s="141">
        <f>"mailto:sanjay.singh@informa.com"</f>
        <v>0</v>
      </c>
      <c r="L29" s="113"/>
      <c r="M29" s="100"/>
      <c r="N29" s="116"/>
      <c r="O29" s="106"/>
      <c r="P29" s="92"/>
      <c r="Q29" s="107"/>
      <c r="R29" s="108"/>
      <c r="S29" s="87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64" s="102" customFormat="1" ht="66.75" customHeight="1">
      <c r="A30" s="89"/>
      <c r="B30" s="90"/>
      <c r="C30" s="103"/>
      <c r="D30" s="92"/>
      <c r="E30" s="93"/>
      <c r="F30" s="92"/>
      <c r="G30" s="94"/>
      <c r="H30" s="104"/>
      <c r="I30" s="142">
        <f>"Marketing, Media Partner &amp; Press Inquiries: Freya Smale"</f>
        <v>0</v>
      </c>
      <c r="J30" s="143">
        <f>"+44(0) 739 552 6693"</f>
        <v>0</v>
      </c>
      <c r="K30" s="141">
        <f>"mailto:freya.smale@informa.com"</f>
        <v>0</v>
      </c>
      <c r="L30" s="113"/>
      <c r="M30" s="100"/>
      <c r="N30" s="116"/>
      <c r="O30" s="106"/>
      <c r="P30" s="92"/>
      <c r="Q30" s="107"/>
      <c r="R30" s="108"/>
      <c r="S30" s="87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</row>
    <row r="31" spans="1:19" s="148" customFormat="1" ht="41.25" customHeight="1">
      <c r="A31" s="89" t="s">
        <v>131</v>
      </c>
      <c r="B31" s="90" t="s">
        <v>132</v>
      </c>
      <c r="C31" s="103">
        <f>"https://www.act-news.com/webinar/what-fleets-need-to-consider-when-electrifying-their-depots/"</f>
        <v>0</v>
      </c>
      <c r="D31" s="92"/>
      <c r="E31" s="93" t="s">
        <v>133</v>
      </c>
      <c r="F31" s="92" t="s">
        <v>134</v>
      </c>
      <c r="G31" s="94">
        <f>"Building an electric fleet depot can seem daunting. &amp;hellip;.&amp;nbsp; You need detailed and experienced guidance to build a smart, efficient electric depot."</f>
        <v>0</v>
      </c>
      <c r="H31" s="95">
        <f>"Presenter:&amp;nbsp;&lt;b&gt;David&amp;nbsp;Peterson&lt;/b&gt;, Head of Fleet Solutions, ChargePoint"</f>
        <v>0</v>
      </c>
      <c r="I31" s="96"/>
      <c r="J31" s="97"/>
      <c r="K31" s="98"/>
      <c r="L31" s="99">
        <f>"registration:  https://subscribe.act-news.com/ChargePoint_Webinar2_Registration"</f>
        <v>0</v>
      </c>
      <c r="M31" s="100"/>
      <c r="N31" s="101"/>
      <c r="O31" s="110" t="s">
        <v>70</v>
      </c>
      <c r="P31" s="92" t="s">
        <v>71</v>
      </c>
      <c r="Q31" s="107" t="s">
        <v>64</v>
      </c>
      <c r="R31" s="108" t="s">
        <v>65</v>
      </c>
      <c r="S31" s="147"/>
    </row>
    <row r="32" spans="1:19" s="148" customFormat="1" ht="33.75" customHeight="1">
      <c r="A32" s="89">
        <f>"Free Webinar:  Selecting safe and reliable components for high-voltage EVs"</f>
        <v>0</v>
      </c>
      <c r="B32" s="90" t="s">
        <v>72</v>
      </c>
      <c r="C32" s="103">
        <f>"https://chargedevs.com/newswire/selecting-safe-and-reliable-components-for-high-voltage-evs-webinar/"</f>
        <v>0</v>
      </c>
      <c r="D32" s="92"/>
      <c r="E32" s="93" t="s">
        <v>73</v>
      </c>
      <c r="F32" s="92" t="s">
        <v>74</v>
      </c>
      <c r="G32" s="94">
        <f>"[with] several manufacturers slated to release EVs with 800 V battery systems in 2021, using high-voltage battery systems in EVs is no longer just theoretical."</f>
        <v>0</v>
      </c>
      <c r="H32" s="95" t="s">
        <v>135</v>
      </c>
      <c r="I32" s="96"/>
      <c r="J32" s="97"/>
      <c r="K32" s="98"/>
      <c r="L32" s="99">
        <f>"Registration:  https://us02web.zoom.us/webinar/register/5216077211681/WN_AxMbNhK_QKi2NS9eF8OAQg"</f>
        <v>0</v>
      </c>
      <c r="M32" s="100"/>
      <c r="N32" s="101"/>
      <c r="O32" s="110" t="s">
        <v>75</v>
      </c>
      <c r="P32" s="92" t="s">
        <v>76</v>
      </c>
      <c r="Q32" s="107" t="s">
        <v>64</v>
      </c>
      <c r="R32" s="108" t="s">
        <v>65</v>
      </c>
      <c r="S32" s="147"/>
    </row>
    <row r="33" spans="1:64" ht="73.5" customHeight="1">
      <c r="A33" s="125" t="s">
        <v>136</v>
      </c>
      <c r="B33" s="126" t="s">
        <v>137</v>
      </c>
      <c r="C33" s="127">
        <f>"https://driveworldexpo.com/"</f>
        <v>0</v>
      </c>
      <c r="D33" s="128" t="s">
        <v>138</v>
      </c>
      <c r="E33" s="129" t="s">
        <v>139</v>
      </c>
      <c r="F33" s="128" t="s">
        <v>140</v>
      </c>
      <c r="G33" s="130" t="s">
        <v>141</v>
      </c>
      <c r="H33" s="131">
        <f>"Colacated with DesignCon:  https://www.designcon.com/en/home.html"</f>
        <v>0</v>
      </c>
      <c r="I33" s="149">
        <f>"Exhibitors&amp;rsquo; info  https://driveworldexpo.com/become-an-exhibitor"</f>
        <v>0</v>
      </c>
      <c r="J33" s="149"/>
      <c r="K33" s="122">
        <f>"Brochure:  https://findmanufacturingbuyers.com/sites/default/files/Electronics_Events.pdf"</f>
        <v>0</v>
      </c>
      <c r="L33" s="150">
        <f>"colocated with Embedded Systems Conference (ESC):"</f>
        <v>0</v>
      </c>
      <c r="M33" s="151">
        <f>"https://designcon.com/drive-world-esc"</f>
        <v>0</v>
      </c>
      <c r="N33" s="152"/>
      <c r="O33" s="153" t="s">
        <v>142</v>
      </c>
      <c r="P33" s="154">
        <f>"https://www.informamarkets.com/en/home.html"</f>
        <v>0</v>
      </c>
      <c r="Q33" s="136" t="s">
        <v>64</v>
      </c>
      <c r="R33" s="137" t="s">
        <v>65</v>
      </c>
      <c r="S33" s="87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64" s="102" customFormat="1" ht="43.5" customHeight="1">
      <c r="A34" s="89" t="s">
        <v>143</v>
      </c>
      <c r="B34" s="90" t="s">
        <v>144</v>
      </c>
      <c r="C34" s="103">
        <f>"https://mailchi.mp/avere.org/the-avere-e-mobility-bulletin-evs32-wevj-avere-events-640642?e=f6ca89c8a5"</f>
        <v>0</v>
      </c>
      <c r="D34" s="92"/>
      <c r="E34" s="93" t="s">
        <v>145</v>
      </c>
      <c r="F34" s="92">
        <f>"Vangeel-Bergera-Frenkel-Rodriguez-Carranza-2.png            295 x 235"</f>
        <v>0</v>
      </c>
      <c r="G34" s="104">
        <f>"The key to supporting EVs&amp;rsqup; mass uptake will be developing and providing smart and well-integrated EV charging infrastructure."</f>
        <v>0</v>
      </c>
      <c r="H34" s="155">
        <f>"Moderator: &lt;font size=2&gt;&lt;b&gt;Philippe&amp;nbsp;Vangeel&lt;/b&gt;, Secretary&amp;#8209;General, AVERE&lt;/font&gt;"</f>
        <v>0</v>
      </c>
      <c r="I34" s="96"/>
      <c r="J34" s="105"/>
      <c r="K34" s="98"/>
      <c r="L34" s="113">
        <f>"registration:  https://www.enlit.world/europe/europe-calendar/new-energy-landscape-hub-series-season-1-episode-1-charging-up-for-an-ev-future-register"</f>
        <v>0</v>
      </c>
      <c r="M34" s="100"/>
      <c r="N34" s="116"/>
      <c r="O34" s="110" t="s">
        <v>146</v>
      </c>
      <c r="P34" s="92">
        <f>"https://avere.org/calendar/"</f>
        <v>0</v>
      </c>
      <c r="Q34" s="156" t="s">
        <v>64</v>
      </c>
      <c r="R34" s="157" t="s">
        <v>65</v>
      </c>
      <c r="S34" s="87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64" s="102" customFormat="1" ht="37.5" customHeight="1">
      <c r="A35" s="89"/>
      <c r="B35" s="90"/>
      <c r="C35" s="103"/>
      <c r="D35" s="92"/>
      <c r="E35" s="93"/>
      <c r="F35" s="92"/>
      <c r="G35" s="104"/>
      <c r="H35" s="104">
        <f>"Speakers and Panellists:  &lt;font size=2&gt;Carlos&amp;nbsp;Bergera&lt;/b&gt;, Head of Green, Mobility Iberdrola"</f>
        <v>0</v>
      </c>
      <c r="I35" s="96"/>
      <c r="J35" s="105"/>
      <c r="K35" s="98"/>
      <c r="L35" s="113"/>
      <c r="M35" s="100"/>
      <c r="N35" s="116"/>
      <c r="O35" s="110"/>
      <c r="P35" s="92"/>
      <c r="Q35" s="156"/>
      <c r="R35" s="157"/>
      <c r="S35" s="87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64" s="102" customFormat="1" ht="24.75" customHeight="1">
      <c r="A36" s="89"/>
      <c r="B36" s="90"/>
      <c r="C36" s="103"/>
      <c r="D36" s="92"/>
      <c r="E36" s="93"/>
      <c r="F36" s="92"/>
      <c r="G36" s="104"/>
      <c r="H36" s="104">
        <f>"&lt;b&gt;Doron&amp;nbsp;Frenkel&lt;/b&gt;,Founder &amp; CEO Driivz"</f>
        <v>0</v>
      </c>
      <c r="I36" s="96"/>
      <c r="J36" s="105"/>
      <c r="K36" s="98"/>
      <c r="L36" s="113"/>
      <c r="M36" s="100"/>
      <c r="N36" s="116"/>
      <c r="O36" s="110"/>
      <c r="P36" s="92"/>
      <c r="Q36" s="156"/>
      <c r="R36" s="157"/>
      <c r="S36" s="87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64" s="102" customFormat="1" ht="24.75" customHeight="1">
      <c r="A37" s="89"/>
      <c r="B37" s="90"/>
      <c r="C37" s="103"/>
      <c r="D37" s="92"/>
      <c r="E37" s="93"/>
      <c r="F37" s="92"/>
      <c r="G37" s="104"/>
      <c r="H37" s="104">
        <f>"&lt;b&gt;Elena&amp;nbsp;Rodriguez&lt;/b&gt;, Head of E&amp;#8209;Mobility, Ormazabal"</f>
        <v>0</v>
      </c>
      <c r="I37" s="96"/>
      <c r="J37" s="105"/>
      <c r="K37" s="98"/>
      <c r="L37" s="113"/>
      <c r="M37" s="100"/>
      <c r="N37" s="116"/>
      <c r="O37" s="110"/>
      <c r="P37" s="92"/>
      <c r="Q37" s="156"/>
      <c r="R37" s="157"/>
      <c r="S37" s="87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64" s="102" customFormat="1" ht="24.75" customHeight="1">
      <c r="A38" s="89"/>
      <c r="B38" s="90"/>
      <c r="C38" s="103"/>
      <c r="D38" s="92"/>
      <c r="E38" s="93"/>
      <c r="F38" s="92"/>
      <c r="G38" s="104"/>
      <c r="H38" s="104">
        <f>"&lt;b&gt;Francisco&amp;nbsp;Carranza&lt;/b&gt;, Managing Dir., Nissan Energy"</f>
        <v>0</v>
      </c>
      <c r="I38" s="96"/>
      <c r="J38" s="105"/>
      <c r="K38" s="98"/>
      <c r="L38" s="113"/>
      <c r="M38" s="100"/>
      <c r="N38" s="116"/>
      <c r="O38" s="110"/>
      <c r="P38" s="92"/>
      <c r="Q38" s="156"/>
      <c r="R38" s="157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64" s="102" customFormat="1" ht="54.75" customHeight="1">
      <c r="A39" s="89" t="s">
        <v>147</v>
      </c>
      <c r="B39" s="90" t="s">
        <v>148</v>
      </c>
      <c r="C39" s="103">
        <f>"https://register.gotowebinar.com/register/6991344052749433870"</f>
        <v>0</v>
      </c>
      <c r="D39" s="92"/>
      <c r="E39" s="93" t="s">
        <v>149</v>
      </c>
      <c r="F39" s="92" t="s">
        <v>150</v>
      </c>
      <c r="G39" s="94">
        <f>"What should you do when you experience a battery failure?"</f>
        <v>0</v>
      </c>
      <c r="H39" s="104">
        <f>"&lt;b&gt;Russ&amp;nbsp;Gyenes&lt;/b&gt;, Princ. Egr., Energy&amp;nbsp;Assurance"</f>
        <v>0</v>
      </c>
      <c r="I39" s="96"/>
      <c r="J39" s="105"/>
      <c r="K39" s="98"/>
      <c r="L39" s="106"/>
      <c r="M39" s="111"/>
      <c r="N39" s="112"/>
      <c r="O39" s="106" t="s">
        <v>83</v>
      </c>
      <c r="P39" s="92" t="s">
        <v>84</v>
      </c>
      <c r="Q39" s="107" t="s">
        <v>64</v>
      </c>
      <c r="R39" s="108" t="s">
        <v>65</v>
      </c>
      <c r="S39" s="87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64" s="102" customFormat="1" ht="66" customHeight="1">
      <c r="A40" s="89" t="s">
        <v>151</v>
      </c>
      <c r="B40" s="90" t="s">
        <v>152</v>
      </c>
      <c r="C40" s="103">
        <f>"https://evision.eurelectric.org/"</f>
        <v>0</v>
      </c>
      <c r="D40" s="92" t="s">
        <v>153</v>
      </c>
      <c r="E40" s="93" t="s">
        <v>154</v>
      </c>
      <c r="F40" s="92">
        <f>"eVision.png   206 x 133"</f>
        <v>0</v>
      </c>
      <c r="G40" s="94">
        <f>"&amp;hellip; accelerate the transition to an electric mobility [by] electrification of fleet vehicles."</f>
        <v>0</v>
      </c>
      <c r="H40" s="104"/>
      <c r="I40" s="123"/>
      <c r="J40" s="97"/>
      <c r="K40" s="98"/>
      <c r="L40" s="158">
        <f>"Registration:  https://events.eurelectric.org/Login.aspx?referer=RegistrationForm.aspx&amp;EventID=4648&amp;GUID=00000000-0000-0000-0000-000000000000"</f>
        <v>0</v>
      </c>
      <c r="M40" s="159"/>
      <c r="N40" s="116"/>
      <c r="O40" s="106" t="s">
        <v>146</v>
      </c>
      <c r="P40" s="92" t="s">
        <v>155</v>
      </c>
      <c r="Q40" s="107" t="s">
        <v>64</v>
      </c>
      <c r="R40" s="108" t="s">
        <v>65</v>
      </c>
      <c r="S40" s="87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64" s="102" customFormat="1" ht="100.5" customHeight="1">
      <c r="A41" s="89" t="s">
        <v>156</v>
      </c>
      <c r="B41" s="90" t="s">
        <v>157</v>
      </c>
      <c r="C41" s="103">
        <f>"https://www.sae.org/attend/government-industry/"</f>
        <v>0</v>
      </c>
      <c r="D41" s="92" t="s">
        <v>158</v>
      </c>
      <c r="E41" s="93" t="s">
        <v>159</v>
      </c>
      <c r="F41" s="92" t="s">
        <v>160</v>
      </c>
      <c r="G41" s="94" t="s">
        <v>161</v>
      </c>
      <c r="H41" s="131">
        <f>"Colocated with Washington Auto Show:  https://www.washingtonautoshow.com/"</f>
        <v>0</v>
      </c>
      <c r="I41" s="123"/>
      <c r="J41" s="97"/>
      <c r="K41" s="98"/>
      <c r="L41" s="158">
        <f>"Call for Presentations:  https://www.sae.org/binaries/content/assets/cm/content/attend/2021/govind/21_gi_call_for_presentations.pdf"</f>
        <v>0</v>
      </c>
      <c r="M41" s="159">
        <f>"https://www.sae.org/servlets/techpapers/enterAbstractForPapers.do?method=formView&amp;evtSchedGenNum=286229&amp;prodGrpCd=SPEC&amp;evtName=GI"</f>
        <v>0</v>
      </c>
      <c r="N41" s="116" t="s">
        <v>162</v>
      </c>
      <c r="O41" s="106" t="s">
        <v>51</v>
      </c>
      <c r="P41" s="92">
        <f>"https://www.sae.org/attend/"</f>
        <v>0</v>
      </c>
      <c r="Q41" s="107" t="s">
        <v>64</v>
      </c>
      <c r="R41" s="108" t="s">
        <v>65</v>
      </c>
      <c r="S41" s="87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</row>
    <row r="42" spans="1:64" s="102" customFormat="1" ht="61.5" customHeight="1">
      <c r="A42" s="89" t="s">
        <v>163</v>
      </c>
      <c r="B42" s="90" t="s">
        <v>164</v>
      </c>
      <c r="C42" s="103">
        <f>"https://www.sae.org/learn/content/c1869"</f>
        <v>0</v>
      </c>
      <c r="D42" s="92" t="s">
        <v>165</v>
      </c>
      <c r="E42" s="93" t="s">
        <v>166</v>
      </c>
      <c r="F42" s="92" t="s">
        <v>167</v>
      </c>
      <c r="G42" s="94" t="s">
        <v>168</v>
      </c>
      <c r="H42" s="104">
        <f>"Instructor: Alan Moore"</f>
        <v>0</v>
      </c>
      <c r="I42" s="96"/>
      <c r="J42" s="105"/>
      <c r="K42" s="98"/>
      <c r="L42" s="106" t="s">
        <v>169</v>
      </c>
      <c r="M42" s="111" t="s">
        <v>170</v>
      </c>
      <c r="N42" s="112"/>
      <c r="O42" s="106" t="s">
        <v>171</v>
      </c>
      <c r="P42" s="92" t="s">
        <v>172</v>
      </c>
      <c r="Q42" s="107" t="s">
        <v>64</v>
      </c>
      <c r="R42" s="108" t="s">
        <v>65</v>
      </c>
      <c r="S42" s="87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</row>
    <row r="43" spans="1:64" ht="86.25" customHeight="1">
      <c r="A43" s="89" t="s">
        <v>173</v>
      </c>
      <c r="B43" s="90" t="s">
        <v>174</v>
      </c>
      <c r="C43" s="103">
        <f>"https://www.volpe.dot.gov/events/dr-stephen-flynn-imperative-and-opportunity-invest-resilient-infrastructure"</f>
        <v>0</v>
      </c>
      <c r="D43" s="92" t="s">
        <v>175</v>
      </c>
      <c r="E43" s="93" t="s">
        <v>176</v>
      </c>
      <c r="F43" s="92" t="s">
        <v>177</v>
      </c>
      <c r="G43" s="160">
        <f>"Professor Flynn will present options for overcoming &amp;hellip; barriers  to advancing the widespread adoption of resilient design and engineering best practices."</f>
        <v>0</v>
      </c>
      <c r="H43" s="161">
        <f>"&lt;b&gt;Stephen&amp;nbsp;E.&amp;nbsp;Flynn, Ph.D., Found. Dir., Global Resilience Institute, &amp; Prof. of Poli. Sci. &amp; Prof. of Civil &amp; Envir. Eng., Northeastern University"</f>
        <v>0</v>
      </c>
      <c r="I43" s="96" t="s">
        <v>178</v>
      </c>
      <c r="J43" s="97" t="s">
        <v>179</v>
      </c>
      <c r="K43" s="98" t="s">
        <v>180</v>
      </c>
      <c r="L43" s="158">
        <f>"You must register -- https://volpe-events.webex.com/mw3300/mywebex/default.do?siteurl=volpe-events and select this webinar and click through"</f>
        <v>0</v>
      </c>
      <c r="M43" s="100"/>
      <c r="N43" s="116"/>
      <c r="O43" s="106" t="s">
        <v>181</v>
      </c>
      <c r="P43" s="92">
        <f>"https://www.volpe.dot.gov/upcoming-events"</f>
        <v>0</v>
      </c>
      <c r="Q43" s="107" t="s">
        <v>182</v>
      </c>
      <c r="R43" s="108" t="s">
        <v>65</v>
      </c>
      <c r="S43" s="87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</row>
    <row r="44" spans="1:64" s="102" customFormat="1" ht="57.75" customHeight="1">
      <c r="A44" s="89" t="s">
        <v>183</v>
      </c>
      <c r="B44" s="90">
        <f>"Key-to-EVs"</f>
        <v>0</v>
      </c>
      <c r="C44" s="103">
        <f>"https://register.gotowebinar.com/register/3876621125543744783"</f>
        <v>0</v>
      </c>
      <c r="D44" s="92"/>
      <c r="E44" s="93" t="s">
        <v>184</v>
      </c>
      <c r="F44" s="92" t="s">
        <v>185</v>
      </c>
      <c r="G44" s="94">
        <f>"&amp;hellip; extensive research and development of battery technologies with high energy density."</f>
        <v>0</v>
      </c>
      <c r="H44" s="104">
        <f>"&lt;b&gt;Asma&amp;nbsp;Sharafi&lt;/b&gt;, Res. Eng., Ford"</f>
        <v>0</v>
      </c>
      <c r="I44" s="96"/>
      <c r="J44" s="105"/>
      <c r="K44" s="98"/>
      <c r="L44" s="106" t="s">
        <v>82</v>
      </c>
      <c r="M44" s="111"/>
      <c r="N44" s="112"/>
      <c r="O44" s="106" t="s">
        <v>83</v>
      </c>
      <c r="P44" s="92" t="s">
        <v>84</v>
      </c>
      <c r="Q44" s="107" t="s">
        <v>64</v>
      </c>
      <c r="R44" s="108" t="s">
        <v>65</v>
      </c>
      <c r="S44" s="87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</row>
    <row r="45" spans="1:64" ht="69" customHeight="1">
      <c r="A45" s="125">
        <f>"Pre-Offer Webinar for the U.S. DOT’s FY21 Phase I SBIR Solicitation"</f>
        <v>0</v>
      </c>
      <c r="B45" s="126" t="s">
        <v>186</v>
      </c>
      <c r="C45" s="127">
        <f>"https://www.volpe.dot.gov/work-with-us/small-business-innovation-research/21-solicitation-now-open"</f>
        <v>0</v>
      </c>
      <c r="D45" s="128" t="s">
        <v>175</v>
      </c>
      <c r="E45" s="129" t="s">
        <v>187</v>
      </c>
      <c r="F45" s="128" t="s">
        <v>188</v>
      </c>
      <c r="G45" s="162"/>
      <c r="H45" s="163"/>
      <c r="I45" s="132" t="s">
        <v>178</v>
      </c>
      <c r="J45" s="133" t="s">
        <v>179</v>
      </c>
      <c r="K45" s="134" t="s">
        <v>180</v>
      </c>
      <c r="L45" s="164">
        <f>"Free reservation page:  https://volpe-events.webex.com/volpe-events/onstage/g.php?MTID=efbf8f5000804aefdc8dfbaecf9260ffd"</f>
        <v>0</v>
      </c>
      <c r="M45" s="151"/>
      <c r="N45" s="152"/>
      <c r="O45" s="135" t="s">
        <v>189</v>
      </c>
      <c r="P45" s="128"/>
      <c r="Q45" s="136" t="s">
        <v>64</v>
      </c>
      <c r="R45" s="137" t="s">
        <v>65</v>
      </c>
      <c r="S45" s="87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</row>
    <row r="46" spans="1:64" s="102" customFormat="1" ht="86.25" customHeight="1">
      <c r="A46" s="89" t="s">
        <v>190</v>
      </c>
      <c r="B46" s="90" t="s">
        <v>191</v>
      </c>
      <c r="C46" s="103">
        <f>"https://www.hsrail.org/brown-bag-lunch-high-speed-rail-development-china"</f>
        <v>0</v>
      </c>
      <c r="D46" s="92"/>
      <c r="E46" s="93" t="s">
        <v>192</v>
      </c>
      <c r="F46" s="92" t="s">
        <v>193</v>
      </c>
      <c r="G46" s="160">
        <f>"&amp;hellip; how high-speed rail was developed in China and if there&amp;rsquo;s anything the US can learn from their approach."</f>
        <v>0</v>
      </c>
      <c r="H46" s="161">
        <f>"&lt;b&gt;Anthony&amp;nbsp;Perl&lt;/b&gt;, Prof. of Urban Studies &amp; Poli. Sci., Simon&amp;nbsp;Fraser&amp;nbsp;University."</f>
        <v>0</v>
      </c>
      <c r="I46" s="96"/>
      <c r="J46" s="97"/>
      <c r="K46" s="98"/>
      <c r="L46" s="158">
        <f>"registration:  https://zoom.us/webinar/register/WN_VwW-dA8qQQy2RGj8XqWgnA"</f>
        <v>0</v>
      </c>
      <c r="M46" s="100"/>
      <c r="N46" s="116"/>
      <c r="O46" s="106" t="s">
        <v>194</v>
      </c>
      <c r="P46" s="92">
        <f>"https://www.hsrail.org/events"</f>
        <v>0</v>
      </c>
      <c r="Q46" s="107" t="s">
        <v>53</v>
      </c>
      <c r="R46" s="118" t="s">
        <v>54</v>
      </c>
      <c r="S46" s="87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</row>
    <row r="47" spans="1:19" s="102" customFormat="1" ht="56.25" customHeight="1">
      <c r="A47" s="125" t="s">
        <v>195</v>
      </c>
      <c r="B47" s="126" t="s">
        <v>196</v>
      </c>
      <c r="C47" s="127">
        <f>"https://www.sae.org/attend/hybrid/"</f>
        <v>0</v>
      </c>
      <c r="D47" s="128" t="s">
        <v>197</v>
      </c>
      <c r="E47" s="129" t="s">
        <v>198</v>
      </c>
      <c r="F47" s="128" t="s">
        <v>199</v>
      </c>
      <c r="G47" s="165" t="s">
        <v>200</v>
      </c>
      <c r="H47" s="166">
        <f>"Exhibitors'/Sponsors' info:  https://www.sae.org/attend/hybrid/exhibit-sponsor"</f>
        <v>0</v>
      </c>
      <c r="I47" s="167" t="s">
        <v>201</v>
      </c>
      <c r="J47" s="168"/>
      <c r="K47" s="169"/>
      <c r="L47" s="150"/>
      <c r="M47" s="170"/>
      <c r="N47" s="171"/>
      <c r="O47" s="172" t="s">
        <v>51</v>
      </c>
      <c r="P47" s="173">
        <f>"https://www.sae.org/attend/"</f>
        <v>0</v>
      </c>
      <c r="Q47" s="174" t="s">
        <v>64</v>
      </c>
      <c r="R47" s="137" t="s">
        <v>65</v>
      </c>
      <c r="S47" s="140"/>
    </row>
    <row r="48" spans="1:64" s="102" customFormat="1" ht="27.75" customHeight="1">
      <c r="A48" s="89">
        <f>"AVERE Free Webinar:&amp;nbsp; Phase-Out Targets by Local Governments"</f>
        <v>0</v>
      </c>
      <c r="B48" s="90">
        <f>"Phase-Out"</f>
        <v>0</v>
      </c>
      <c r="C48" s="103">
        <f>"https://avere.glueup.com/event/phase-out-targets-by-local-governments-31436/"</f>
        <v>0</v>
      </c>
      <c r="D48" s="92"/>
      <c r="E48" s="93" t="s">
        <v>202</v>
      </c>
      <c r="F48" s="92" t="s">
        <v>203</v>
      </c>
      <c r="G48" s="160">
        <f>"Learn more about why the end of the ICE Age will start at local level!"</f>
        <v>0</v>
      </c>
      <c r="H48" s="161">
        <f>"&lt;b&gt;Fraser&amp;nbsp;Crichton&lt;/b&gt;, Corp. Fleet Op&amp;rsquo;s Mgr, Dundee City"</f>
        <v>0</v>
      </c>
      <c r="I48" s="96"/>
      <c r="J48" s="97"/>
      <c r="K48" s="98"/>
      <c r="L48" s="113">
        <f>"registration:  https://avere.glueup.com/event/31436/register/"</f>
        <v>0</v>
      </c>
      <c r="M48" s="100"/>
      <c r="N48" s="116"/>
      <c r="O48" s="106" t="s">
        <v>146</v>
      </c>
      <c r="P48" s="92">
        <f>"https://avere.glueup.com/"</f>
        <v>0</v>
      </c>
      <c r="Q48" s="107" t="s">
        <v>64</v>
      </c>
      <c r="R48" s="108" t="s">
        <v>65</v>
      </c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</row>
    <row r="49" spans="1:64" s="102" customFormat="1" ht="27.75" customHeight="1">
      <c r="A49" s="89"/>
      <c r="B49" s="90"/>
      <c r="C49" s="103"/>
      <c r="D49" s="92"/>
      <c r="E49" s="93"/>
      <c r="F49" s="92"/>
      <c r="G49" s="160"/>
      <c r="H49" s="161">
        <f>"&lt;b&gt;Lutske&amp;nbsp;Lindeman&lt;/b&gt;, Sr.&amp;nbsp;Mobiliteit, Rotterdam"</f>
        <v>0</v>
      </c>
      <c r="I49" s="96"/>
      <c r="J49" s="97"/>
      <c r="K49" s="98"/>
      <c r="L49" s="113"/>
      <c r="M49" s="100"/>
      <c r="N49" s="116"/>
      <c r="O49" s="106"/>
      <c r="P49" s="92"/>
      <c r="Q49" s="107"/>
      <c r="R49" s="108"/>
      <c r="S49" s="87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</row>
    <row r="50" spans="1:19" s="102" customFormat="1" ht="27.75" customHeight="1">
      <c r="A50" s="89"/>
      <c r="B50" s="90"/>
      <c r="C50" s="103"/>
      <c r="D50" s="92"/>
      <c r="E50" s="93"/>
      <c r="F50" s="92"/>
      <c r="G50" s="160"/>
      <c r="H50" s="161">
        <f>"&lt;b&gt;Aart&amp;nbsp;Meijles&lt;/b&gt;,Proj. Mgr., Sust. Mobility, City of Utrecht"</f>
        <v>0</v>
      </c>
      <c r="I50" s="96"/>
      <c r="J50" s="97"/>
      <c r="K50" s="98"/>
      <c r="L50" s="113"/>
      <c r="M50" s="100"/>
      <c r="N50" s="116"/>
      <c r="O50" s="106"/>
      <c r="P50" s="128">
        <f>"https://www.avere.org/calendar/"</f>
        <v>0</v>
      </c>
      <c r="Q50" s="107"/>
      <c r="R50" s="108"/>
      <c r="S50" s="140"/>
    </row>
    <row r="51" spans="1:19" s="102" customFormat="1" ht="40.5" customHeight="1">
      <c r="A51" s="89"/>
      <c r="B51" s="90"/>
      <c r="C51" s="103"/>
      <c r="D51" s="92"/>
      <c r="E51" s="93"/>
      <c r="F51" s="92"/>
      <c r="G51" s="160"/>
      <c r="H51" s="104">
        <f>"&lt;b&gt;Sture&amp;nbsp;Portvik&lt;/b&gt;, Proj. Mgr., Electro&amp;#8209;Mobility, Agency for Urban Envir., City of Oslo"</f>
        <v>0</v>
      </c>
      <c r="I51" s="96"/>
      <c r="J51" s="97"/>
      <c r="K51" s="98"/>
      <c r="L51" s="113"/>
      <c r="M51" s="100"/>
      <c r="N51" s="116"/>
      <c r="O51" s="106"/>
      <c r="P51" s="128"/>
      <c r="Q51" s="107"/>
      <c r="R51" s="108"/>
      <c r="S51" s="140"/>
    </row>
    <row r="52" spans="1:64" s="102" customFormat="1" ht="30" customHeight="1">
      <c r="A52" s="89">
        <f>"Forth Webinar:&amp;nbsp; Women in EVs"</f>
        <v>0</v>
      </c>
      <c r="B52" s="90">
        <f>"Women-in-EVs"</f>
        <v>0</v>
      </c>
      <c r="C52" s="103">
        <f>"https://forthmobility.org/events/women-in-evs"</f>
        <v>0</v>
      </c>
      <c r="D52" s="92"/>
      <c r="E52" s="93" t="s">
        <v>204</v>
      </c>
      <c r="F52" s="92" t="s">
        <v>205</v>
      </c>
      <c r="G52" s="160">
        <f>"In the U.S., women are the key to unlocking the potential of the EV industry, but have been largely overlooked &amp;hellip;"</f>
        <v>0</v>
      </c>
      <c r="H52" s="161">
        <f>"&lt;b&gt;Erika&amp;nbsp;Myers&lt;/b&gt;, Global Sr. Mgr, Elec. Veh., World Resources Inst."</f>
        <v>0</v>
      </c>
      <c r="I52" s="96"/>
      <c r="J52" s="97"/>
      <c r="K52" s="98"/>
      <c r="L52" s="113">
        <f>"registration:  https://www.anymeeting.com/AccountManager/RegEv.aspx?PIID=E050DD87854D3E"</f>
        <v>0</v>
      </c>
      <c r="M52" s="100"/>
      <c r="N52" s="116"/>
      <c r="O52" s="106" t="s">
        <v>206</v>
      </c>
      <c r="P52" s="92">
        <f>"https://forthmobility.org/events"</f>
        <v>0</v>
      </c>
      <c r="Q52" s="107" t="s">
        <v>207</v>
      </c>
      <c r="R52" s="118" t="s">
        <v>54</v>
      </c>
      <c r="S52" s="87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s="102" customFormat="1" ht="32.25" customHeight="1">
      <c r="A53" s="89"/>
      <c r="B53" s="90"/>
      <c r="C53" s="103"/>
      <c r="D53" s="92"/>
      <c r="E53" s="93"/>
      <c r="F53" s="92"/>
      <c r="G53" s="160"/>
      <c r="H53" s="161">
        <f>"&lt;b&gt;Dr.&amp;nbsp;Shelley&amp;nbsp;Francis&lt;/b&gt;, EV&amp;nbsp;Noire"</f>
        <v>0</v>
      </c>
      <c r="I53" s="96"/>
      <c r="J53" s="97"/>
      <c r="K53" s="98"/>
      <c r="L53" s="113"/>
      <c r="M53" s="100"/>
      <c r="N53" s="116"/>
      <c r="O53" s="106"/>
      <c r="P53" s="92"/>
      <c r="Q53" s="107"/>
      <c r="R53" s="118"/>
      <c r="S53" s="87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19" s="102" customFormat="1" ht="12" customHeight="1">
      <c r="A54" s="89"/>
      <c r="B54" s="90"/>
      <c r="C54" s="103"/>
      <c r="D54" s="92"/>
      <c r="E54" s="93"/>
      <c r="F54" s="92"/>
      <c r="G54" s="160"/>
      <c r="H54" s="161">
        <f>"&lt;b&gt;Sabrina&amp;nbsp;Cerquera&lt;/b&gt;,  Forth"</f>
        <v>0</v>
      </c>
      <c r="I54" s="96"/>
      <c r="J54" s="97"/>
      <c r="K54" s="98"/>
      <c r="L54" s="113"/>
      <c r="M54" s="100"/>
      <c r="N54" s="116"/>
      <c r="O54" s="106"/>
      <c r="P54" s="92"/>
      <c r="Q54" s="107"/>
      <c r="R54" s="118"/>
      <c r="S54" s="140"/>
    </row>
    <row r="55" spans="1:64" s="102" customFormat="1" ht="86.25" customHeight="1">
      <c r="A55" s="89" t="s">
        <v>208</v>
      </c>
      <c r="B55" s="90" t="s">
        <v>209</v>
      </c>
      <c r="C55" s="103">
        <f>"https://www.hsrail.org/brown-bag-lunch-lessons-chicago-st-louis-110-mph-project"</f>
        <v>0</v>
      </c>
      <c r="D55" s="92"/>
      <c r="E55" s="93" t="s">
        <v>210</v>
      </c>
      <c r="F55" s="92" t="s">
        <v>211</v>
      </c>
      <c r="G55" s="160">
        <f>"&amp;hellip;  lessons learned from the ongoing project on the Chicago &amp;ndash; St. Louis Corridor. &amp;hellip; there are still many challenges that remain."</f>
        <v>0</v>
      </c>
      <c r="H55" s="161">
        <f>"&lt;b&gt;Rick&amp;nbsp;Harnish&lt;/b&gt;, executive director, High Speed Rail Alliance."</f>
        <v>0</v>
      </c>
      <c r="I55" s="96"/>
      <c r="J55" s="97"/>
      <c r="K55" s="98"/>
      <c r="L55" s="158">
        <f>"registration:  https://zoom.us/webinar/register/WN_PSp0jcJPSpKR09DUaMdOGw"</f>
        <v>0</v>
      </c>
      <c r="M55" s="100"/>
      <c r="N55" s="116"/>
      <c r="O55" s="106" t="s">
        <v>194</v>
      </c>
      <c r="P55" s="92">
        <f>"https://www.hsrail.org/events"</f>
        <v>0</v>
      </c>
      <c r="Q55" s="107" t="s">
        <v>53</v>
      </c>
      <c r="R55" s="118" t="s">
        <v>54</v>
      </c>
      <c r="S55" s="87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</row>
    <row r="56" spans="1:64" s="102" customFormat="1" ht="43.5" customHeight="1">
      <c r="A56" s="89">
        <f>"Forth Webinar:&amp;nbsp; Next Level Power: Inductive Charging"</f>
        <v>0</v>
      </c>
      <c r="B56" s="90" t="s">
        <v>212</v>
      </c>
      <c r="C56" s="103">
        <f>"https://forthmobility.org/events/next-level-power-inductive-charging"</f>
        <v>0</v>
      </c>
      <c r="D56" s="92"/>
      <c r="E56" s="93" t="s">
        <v>213</v>
      </c>
      <c r="F56" s="92" t="s">
        <v>214</v>
      </c>
      <c r="G56" s="160">
        <f>"Wireless EV charging, also known as inductive charging, provides drivers with the opportunity to fuel-up without plugging in."</f>
        <v>0</v>
      </c>
      <c r="H56" s="161" t="s">
        <v>215</v>
      </c>
      <c r="I56" s="96"/>
      <c r="J56" s="97"/>
      <c r="K56" s="98"/>
      <c r="L56" s="113">
        <f>"registration:  https://www.anymeeting.com/AccountManager/RegEv.aspx?PIID=EF58D98989493E"</f>
        <v>0</v>
      </c>
      <c r="M56" s="100"/>
      <c r="N56" s="116"/>
      <c r="O56" s="106" t="s">
        <v>206</v>
      </c>
      <c r="P56" s="92">
        <f>"https://forthmobility.org/events"</f>
        <v>0</v>
      </c>
      <c r="Q56" s="107" t="s">
        <v>207</v>
      </c>
      <c r="R56" s="118" t="s">
        <v>54</v>
      </c>
      <c r="S56" s="87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</row>
    <row r="57" spans="1:64" s="102" customFormat="1" ht="63.75" customHeight="1">
      <c r="A57" s="89"/>
      <c r="B57" s="90"/>
      <c r="C57" s="127">
        <f>"Alt. Link:  https://www.avere.org/event/forth-webinar-next-level-power-inductive-charging/"</f>
        <v>0</v>
      </c>
      <c r="D57" s="92"/>
      <c r="E57" s="93"/>
      <c r="F57" s="92"/>
      <c r="G57" s="160"/>
      <c r="H57" s="161">
        <f>"&lt;b&gt;Michael&amp;nbsp;McHale&lt;/b&gt;, Chief Marketing &amp; Comm. Ofc., Momentum&amp;nbsp;Dynamics Corporation"</f>
        <v>0</v>
      </c>
      <c r="I57" s="96"/>
      <c r="J57" s="97"/>
      <c r="K57" s="98"/>
      <c r="L57" s="113"/>
      <c r="M57" s="100"/>
      <c r="N57" s="116"/>
      <c r="O57" s="106"/>
      <c r="P57" s="92"/>
      <c r="Q57" s="107"/>
      <c r="R57" s="118"/>
      <c r="S57" s="87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</row>
    <row r="58" spans="1:19" s="187" customFormat="1" ht="67.5" customHeight="1">
      <c r="A58" s="175" t="s">
        <v>216</v>
      </c>
      <c r="B58" s="176" t="s">
        <v>217</v>
      </c>
      <c r="C58" s="177">
        <f>"https://chargedevs.com/newswire/trends-in-hybrid-and-electric-mobility-in-commercial-transportation/"</f>
        <v>0</v>
      </c>
      <c r="D58" s="115"/>
      <c r="E58" s="178" t="s">
        <v>218</v>
      </c>
      <c r="F58" s="115" t="s">
        <v>219</v>
      </c>
      <c r="G58" s="179">
        <f>"&amp;hellip; how high-performance connector solutions have been developed &amp;hellip; to meet the unique challenges related to industrial and commercial vehicle electrification."</f>
        <v>0</v>
      </c>
      <c r="H58" s="180">
        <f>"&lt;b&gt;Daniel&amp;nbsp;Domke&lt;/b&gt;, Prod.&amp;nbsp;Mgr., Hybrid &amp; Elecric Mobility Sol&amp;rsquo;ns, TE Connectivity"</f>
        <v>0</v>
      </c>
      <c r="I58" s="181"/>
      <c r="J58" s="182"/>
      <c r="K58" s="183"/>
      <c r="L58" s="184">
        <f>"Mandatory Free Registration:  https://us02web.zoom.us/webinar/register/2516099801863/WN_PmZc3yLqRB-jTlUuMIuj8Q"</f>
        <v>0</v>
      </c>
      <c r="M58" s="182"/>
      <c r="N58" s="183"/>
      <c r="O58" s="184" t="s">
        <v>75</v>
      </c>
      <c r="P58" s="182">
        <f>"https://chargedevs.com/category/sponsored/"</f>
        <v>0</v>
      </c>
      <c r="Q58" s="183" t="s">
        <v>64</v>
      </c>
      <c r="R58" s="185" t="s">
        <v>65</v>
      </c>
      <c r="S58" s="186"/>
    </row>
    <row r="59" spans="1:64" s="102" customFormat="1" ht="67.5" customHeight="1">
      <c r="A59" s="89" t="s">
        <v>220</v>
      </c>
      <c r="B59" s="90">
        <f>"Passive-Mitigation"</f>
        <v>0</v>
      </c>
      <c r="C59" s="103">
        <f>"https://register.gotowebinar.com/register/9159939423507445773"</f>
        <v>0</v>
      </c>
      <c r="D59" s="92"/>
      <c r="E59" s="93" t="s">
        <v>221</v>
      </c>
      <c r="F59" s="92" t="s">
        <v>222</v>
      </c>
      <c r="G59" s="94">
        <f>"&amp;hellip;  the main disadvantage of [lithium ion batteries] is that a small deviation &amp;hellip; may result in rapid self-heating [and] ejection of &amp;hellip; flammable materials, [causing] fire or explosion."</f>
        <v>0</v>
      </c>
      <c r="H59" s="104">
        <f>"&lt;b&gt;Ahmed&amp;nbsp;Said&lt;/b&gt;, Postdoc Fellow, Worcester Polyt. Inst."</f>
        <v>0</v>
      </c>
      <c r="I59" s="96"/>
      <c r="J59" s="105"/>
      <c r="K59" s="98"/>
      <c r="L59" s="106" t="s">
        <v>82</v>
      </c>
      <c r="M59" s="111"/>
      <c r="N59" s="112"/>
      <c r="O59" s="106" t="s">
        <v>83</v>
      </c>
      <c r="P59" s="92" t="s">
        <v>84</v>
      </c>
      <c r="Q59" s="107" t="s">
        <v>64</v>
      </c>
      <c r="R59" s="108" t="s">
        <v>65</v>
      </c>
      <c r="S59" s="87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64" s="102" customFormat="1" ht="30.75" customHeight="1">
      <c r="A60" s="89">
        <f>"SAE Free Webinar:  Transforming Automotive Engineering by Tackling Complexity"</f>
        <v>0</v>
      </c>
      <c r="B60" s="90" t="s">
        <v>223</v>
      </c>
      <c r="C60" s="103">
        <f>"https://event.webcasts.com/starthere.jsp?ei=1424305&amp;tp_key=4d9a546b0a&amp;sti=SAEnewsletter"</f>
        <v>0</v>
      </c>
      <c r="D60" s="92"/>
      <c r="E60" s="93" t="s">
        <v>224</v>
      </c>
      <c r="F60" s="92" t="s">
        <v>225</v>
      </c>
      <c r="G60" s="94">
        <f>"&amp;hellip; how to enable a transformation of automotive engineering through an integrated multi-domain tool chain that supports industry imperatives and offers increased efficiency, automation, and traceability."</f>
        <v>0</v>
      </c>
      <c r="H60" s="104">
        <f>"&lt;b&gt;Brett&amp;nbsp;Hillhouse&lt;/b&gt;, Global Automotive Leader, IBM AI Applic."</f>
        <v>0</v>
      </c>
      <c r="I60" s="96"/>
      <c r="J60" s="105"/>
      <c r="K60" s="98"/>
      <c r="L60" s="106"/>
      <c r="M60" s="92"/>
      <c r="N60" s="107"/>
      <c r="O60" s="106" t="s">
        <v>226</v>
      </c>
      <c r="P60" s="92" t="s">
        <v>227</v>
      </c>
      <c r="Q60" s="107" t="s">
        <v>64</v>
      </c>
      <c r="R60" s="108" t="s">
        <v>65</v>
      </c>
      <c r="S60" s="87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64" s="102" customFormat="1" ht="30.75" customHeight="1">
      <c r="A61" s="89"/>
      <c r="B61" s="90"/>
      <c r="C61" s="103"/>
      <c r="D61" s="92"/>
      <c r="E61" s="93"/>
      <c r="F61" s="92"/>
      <c r="G61" s="94"/>
      <c r="H61" s="104">
        <f>"&lt;b&gt;Hans&amp;nbsp;Juergen&amp;nbsp;Mantsch&lt;/b&gt;, Proj.-Mgmt Dir., Siemens DI SW"</f>
        <v>0</v>
      </c>
      <c r="I61" s="96"/>
      <c r="J61" s="105"/>
      <c r="K61" s="98"/>
      <c r="L61" s="106"/>
      <c r="M61" s="92"/>
      <c r="N61" s="107"/>
      <c r="O61" s="106"/>
      <c r="P61" s="92"/>
      <c r="Q61" s="107"/>
      <c r="R61" s="108"/>
      <c r="S61" s="87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64" s="102" customFormat="1" ht="29.25" customHeight="1">
      <c r="A62" s="89"/>
      <c r="B62" s="90"/>
      <c r="C62" s="103"/>
      <c r="D62" s="92"/>
      <c r="E62" s="93"/>
      <c r="F62" s="92"/>
      <c r="G62" s="94"/>
      <c r="H62" s="104" t="s">
        <v>228</v>
      </c>
      <c r="I62" s="96"/>
      <c r="J62" s="105"/>
      <c r="K62" s="98"/>
      <c r="L62" s="106"/>
      <c r="M62" s="92"/>
      <c r="N62" s="107"/>
      <c r="O62" s="106"/>
      <c r="P62" s="92"/>
      <c r="Q62" s="107"/>
      <c r="R62" s="108"/>
      <c r="S62" s="87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</row>
    <row r="63" spans="1:64" s="102" customFormat="1" ht="38.25" customHeight="1">
      <c r="A63" s="89" t="s">
        <v>229</v>
      </c>
      <c r="B63" s="90" t="s">
        <v>230</v>
      </c>
      <c r="C63" s="103">
        <f>"https://forthmobility.org/events/its-a-bird-its-a-plane-its-an-electric-plane"</f>
        <v>0</v>
      </c>
      <c r="D63" s="92"/>
      <c r="E63" s="93" t="s">
        <v>231</v>
      </c>
      <c r="F63" s="92" t="s">
        <v>232</v>
      </c>
      <c r="G63" s="94">
        <f>"&amp;hellip; electric airplanes could reduce fuel costs by up to 90%, maintenance &amp;ndash; 50%, and noise &amp;ndash; 70 percent.&amp;nbsp; Imagine a future where your flight was so much quieter!"</f>
        <v>0</v>
      </c>
      <c r="H63" s="104">
        <f>"Moderator:&amp;nbsp; &lt;b&gt;Tegan&amp;nbsp;Molloy&lt;/b&gt;, Sr. Progr. Mgr., Forth"</f>
        <v>0</v>
      </c>
      <c r="I63" s="96"/>
      <c r="J63" s="105"/>
      <c r="K63" s="98"/>
      <c r="L63" s="106">
        <f>"registration: https://www.anymeeting.com/AccountManager/RegEv.aspx?PIID=EF58D68186493A"</f>
        <v>0</v>
      </c>
      <c r="M63" s="92"/>
      <c r="N63" s="107"/>
      <c r="O63" s="106" t="s">
        <v>206</v>
      </c>
      <c r="P63" s="92" t="s">
        <v>233</v>
      </c>
      <c r="Q63" s="107" t="s">
        <v>64</v>
      </c>
      <c r="R63" s="108" t="s">
        <v>65</v>
      </c>
      <c r="S63" s="87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64" s="102" customFormat="1" ht="38.25" customHeight="1">
      <c r="A64" s="89"/>
      <c r="B64" s="90"/>
      <c r="C64" s="103"/>
      <c r="D64" s="92"/>
      <c r="E64" s="93"/>
      <c r="F64" s="92"/>
      <c r="G64" s="94"/>
      <c r="H64" s="104">
        <f>"Speakers:&amp;nbsp; &lt;b&gt;Paul&amp;nbsp;Stith&lt;/b&gt;, Dir., Global Transp. Initiatives, Black&amp;nbsp;&amp;&amp;nbsp;Veatch"</f>
        <v>0</v>
      </c>
      <c r="I64" s="96"/>
      <c r="J64" s="105"/>
      <c r="K64" s="98"/>
      <c r="L64" s="106"/>
      <c r="M64" s="92"/>
      <c r="N64" s="107"/>
      <c r="O64" s="106"/>
      <c r="P64" s="92"/>
      <c r="Q64" s="107"/>
      <c r="R64" s="108"/>
      <c r="S64" s="87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64" s="102" customFormat="1" ht="29.25" customHeight="1">
      <c r="A65" s="89"/>
      <c r="B65" s="90"/>
      <c r="C65" s="103"/>
      <c r="D65" s="92"/>
      <c r="E65" s="93"/>
      <c r="F65" s="92"/>
      <c r="G65" s="94"/>
      <c r="H65" s="104">
        <f>"&lt;b&gt;Susan&amp;nbsp;Ying&lt;/b&gt;, Sr. VP, Global&amp;nbsp;Partnerships, Ampaire"</f>
        <v>0</v>
      </c>
      <c r="I65" s="96"/>
      <c r="J65" s="105"/>
      <c r="K65" s="98"/>
      <c r="L65" s="106"/>
      <c r="M65" s="92"/>
      <c r="N65" s="107"/>
      <c r="O65" s="106"/>
      <c r="P65" s="92"/>
      <c r="Q65" s="107"/>
      <c r="R65" s="108"/>
      <c r="S65" s="87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64" s="102" customFormat="1" ht="85.5" customHeight="1">
      <c r="A66" s="89">
        <f>"Free Webinar:&amp;nbsp; Avnet Transportation Tuesday: Understanding Transportation Image Sensing Trends"</f>
        <v>0</v>
      </c>
      <c r="B66" s="90" t="s">
        <v>234</v>
      </c>
      <c r="C66" s="103">
        <f>"https://event.on24.com/eventRegistration/EventLobbyServlet?target=reg20.jsp&amp;partnerref=techtalk&amp;mkt_tok=eyJpIjoiT1dGak1XRmlNekl6WTJGaiIsInQiOiJCVGsxWWlsMlwvak03U3VHSXdacXZjcmpJWmpTVDZxTFpKM09OaGNHVXBYUnAyYm45U1JWM1M1Szl1OWp5K1l5TjNKOVdTakpNNmphUE9mRjlCZjZ"</f>
        <v>0</v>
      </c>
      <c r="D66" s="103"/>
      <c r="E66" s="93" t="s">
        <v>231</v>
      </c>
      <c r="F66" s="92" t="s">
        <v>235</v>
      </c>
      <c r="G66" s="94" t="s">
        <v>236</v>
      </c>
      <c r="H66" s="104">
        <f>"&lt;b&gt;Griffin&amp;nbsp;Peterson&lt;/b&gt;, Image Sensor Specialist, Avnet"</f>
        <v>0</v>
      </c>
      <c r="I66" s="96"/>
      <c r="J66" s="105"/>
      <c r="K66" s="98"/>
      <c r="L66" s="106"/>
      <c r="M66" s="92"/>
      <c r="N66" s="107"/>
      <c r="O66" s="106" t="s">
        <v>237</v>
      </c>
      <c r="P66" s="92">
        <f>"https://www.avnet.com/wps/portal/us/"</f>
        <v>0</v>
      </c>
      <c r="Q66" s="107" t="s">
        <v>64</v>
      </c>
      <c r="R66" s="108" t="s">
        <v>65</v>
      </c>
      <c r="S66" s="87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64" s="102" customFormat="1" ht="85.5" customHeight="1">
      <c r="A67" s="89"/>
      <c r="B67" s="90"/>
      <c r="C67" s="103"/>
      <c r="D67" s="103"/>
      <c r="E67" s="93"/>
      <c r="F67" s="92"/>
      <c r="G67" s="94"/>
      <c r="H67" s="104">
        <f>"&lt;b&gt;Jason&amp;nbsp;Struble&lt;/b&gt;, Transp. Supplier Mgr. Avnet"</f>
        <v>0</v>
      </c>
      <c r="I67" s="96"/>
      <c r="J67" s="105"/>
      <c r="K67" s="98"/>
      <c r="L67" s="106"/>
      <c r="M67" s="92"/>
      <c r="N67" s="107"/>
      <c r="O67" s="106"/>
      <c r="P67" s="92"/>
      <c r="Q67" s="107"/>
      <c r="R67" s="108"/>
      <c r="S67" s="87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64" s="102" customFormat="1" ht="67.5" customHeight="1">
      <c r="A68" s="89" t="s">
        <v>238</v>
      </c>
      <c r="B68" s="90" t="s">
        <v>239</v>
      </c>
      <c r="C68" s="103">
        <f>"https://www.giievent.kr/cet962597/catalog.pdf?20201217"</f>
        <v>0</v>
      </c>
      <c r="D68" s="92"/>
      <c r="E68" s="93" t="s">
        <v>240</v>
      </c>
      <c r="F68" s="92" t="s">
        <v>241</v>
      </c>
      <c r="G68" s="94" t="s">
        <v>242</v>
      </c>
      <c r="H68" s="104"/>
      <c r="I68" s="96"/>
      <c r="J68" s="105"/>
      <c r="K68" s="98"/>
      <c r="L68" s="106">
        <f>"Registration and costs:  https://chidb.com/reg/fbc/reg.asp"</f>
        <v>0</v>
      </c>
      <c r="M68" s="111"/>
      <c r="N68" s="112"/>
      <c r="O68" s="106" t="s">
        <v>243</v>
      </c>
      <c r="P68" s="92">
        <f>"https://www.cambridgeenertech.com/"</f>
        <v>0</v>
      </c>
      <c r="Q68" s="107" t="s">
        <v>64</v>
      </c>
      <c r="R68" s="108" t="s">
        <v>65</v>
      </c>
      <c r="S68" s="87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64" s="102" customFormat="1" ht="63.75" customHeight="1">
      <c r="A69" s="175" t="s">
        <v>244</v>
      </c>
      <c r="B69" s="175" t="s">
        <v>245</v>
      </c>
      <c r="C69" s="101">
        <f>"https://events.vtsociety.org/vppc2021/conference-sessions/ieee-vts-motor-vehicles-challenge-2021/"</f>
        <v>0</v>
      </c>
      <c r="D69" s="115" t="s">
        <v>246</v>
      </c>
      <c r="E69" s="178" t="s">
        <v>247</v>
      </c>
      <c r="F69" s="92" t="s">
        <v>248</v>
      </c>
      <c r="G69" s="160">
        <f>"&amp;hellip; energy management strategy (EMS) for a dual-motor all-wheel drive (AWD) electric&amp;nbsp;vehicle&amp;nbsp;(EV)"</f>
        <v>0</v>
      </c>
      <c r="H69" s="161"/>
      <c r="I69" s="114"/>
      <c r="J69" s="115"/>
      <c r="K69" s="117">
        <f>"https://vtsociety.org/contact-us/"</f>
        <v>0</v>
      </c>
      <c r="L69" s="113">
        <f>"Registration:  https://oraprdnt.uqtr.uquebec.ca/pls/public/gscw031?owa_no_site=6410&amp;owa_no_fiche=9&amp;owa_bottin="</f>
        <v>0</v>
      </c>
      <c r="M69" s="113"/>
      <c r="N69" s="115" t="s">
        <v>249</v>
      </c>
      <c r="O69" s="106" t="s">
        <v>250</v>
      </c>
      <c r="P69" s="92">
        <f>"https://vtsociety.org/"</f>
        <v>0</v>
      </c>
      <c r="Q69" s="107" t="s">
        <v>64</v>
      </c>
      <c r="R69" s="118" t="s">
        <v>54</v>
      </c>
      <c r="S69" s="186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</row>
    <row r="70" spans="1:64" s="102" customFormat="1" ht="88.5" customHeight="1">
      <c r="A70" s="175"/>
      <c r="B70" s="175"/>
      <c r="C70" s="101">
        <f>"Home Page:  https://oraprdnt.uqtr.uquebec.ca/pls/public/gscw031?owa_no_site=6410"</f>
        <v>0</v>
      </c>
      <c r="D70" s="115"/>
      <c r="E70" s="115"/>
      <c r="F70" s="92"/>
      <c r="G70" s="160"/>
      <c r="H70" s="161"/>
      <c r="I70" s="114"/>
      <c r="J70" s="115"/>
      <c r="K70" s="117"/>
      <c r="L70" s="158">
        <f>"Submission:  https://oraprdnt.uqtr.uquebec.ca/pls/public/gscw031?owa_no_site=6410&amp;owa_no_fiche=8&amp;owa_bottin="</f>
        <v>0</v>
      </c>
      <c r="M70" s="182">
        <f>"Download needed Materials:  https://oraprdnt.uqtr.uquebec.ca/pls/public/gscw031?owa_no_site=6410&amp;owa_no_fiche=7&amp;owa_bottin= "</f>
        <v>0</v>
      </c>
      <c r="N70" s="182">
        <f>"Submission Deadline:  2021/02/22"</f>
        <v>0</v>
      </c>
      <c r="O70" s="106"/>
      <c r="P70" s="92"/>
      <c r="Q70" s="107"/>
      <c r="R70" s="118"/>
      <c r="S70" s="186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</row>
    <row r="71" spans="1:64" s="102" customFormat="1" ht="27.75" customHeight="1">
      <c r="A71" s="89">
        <f>"Free Webinar:&amp;nbsp; The Lifecycle of EV Batteries &amp; Recycling"</f>
        <v>0</v>
      </c>
      <c r="B71" s="90" t="s">
        <v>251</v>
      </c>
      <c r="C71" s="103">
        <f>"https://avere.glueup.com/event/the-lifecycle-of-ev-batteries-recycling-31532/"</f>
        <v>0</v>
      </c>
      <c r="D71" s="92"/>
      <c r="E71" s="93" t="s">
        <v>252</v>
      </c>
      <c r="F71" s="92" t="s">
        <v>253</v>
      </c>
      <c r="G71" s="94">
        <f>"&amp;hellip; the sustainability requirements of battery manufacturing &amp;hellip; becomes a critical success factor."</f>
        <v>0</v>
      </c>
      <c r="H71" s="104">
        <f>"&lt;b&gt;Philippe&amp;nbsp;Vangeel&lt;/b&gt;, Secretary&amp;#8209;General, AVERE"</f>
        <v>0</v>
      </c>
      <c r="I71" s="96"/>
      <c r="J71" s="105"/>
      <c r="K71" s="98"/>
      <c r="L71" s="106">
        <f>"registration: https://avere.glueup.com/event/31532/register/"</f>
        <v>0</v>
      </c>
      <c r="M71" s="92"/>
      <c r="N71" s="107"/>
      <c r="O71" s="106" t="s">
        <v>146</v>
      </c>
      <c r="P71" s="92">
        <f>"https://avere.glueup.com/"</f>
        <v>0</v>
      </c>
      <c r="Q71" s="107" t="s">
        <v>64</v>
      </c>
      <c r="R71" s="108" t="s">
        <v>65</v>
      </c>
      <c r="S71" s="87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</row>
    <row r="72" spans="1:64" s="102" customFormat="1" ht="27.75" customHeight="1">
      <c r="A72" s="89"/>
      <c r="B72" s="90"/>
      <c r="C72" s="103"/>
      <c r="D72" s="92"/>
      <c r="E72" s="93"/>
      <c r="F72" s="92"/>
      <c r="G72" s="94"/>
      <c r="H72" s="104">
        <f>"&lt;b&gt;Bert&amp;nbsp;Witkamp&lt;/b&gt;, Operating Agent, IEA HEV Task40, Valuad Expert"</f>
        <v>0</v>
      </c>
      <c r="I72" s="96"/>
      <c r="J72" s="105"/>
      <c r="K72" s="98"/>
      <c r="L72" s="106"/>
      <c r="M72" s="92"/>
      <c r="N72" s="107"/>
      <c r="O72" s="106"/>
      <c r="P72" s="92"/>
      <c r="Q72" s="107"/>
      <c r="R72" s="108"/>
      <c r="S72" s="87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64" s="102" customFormat="1" ht="17.25" customHeight="1">
      <c r="A73" s="89"/>
      <c r="B73" s="90"/>
      <c r="C73" s="103"/>
      <c r="D73" s="92"/>
      <c r="E73" s="93"/>
      <c r="F73" s="92"/>
      <c r="G73" s="94"/>
      <c r="H73" s="104">
        <f>"&lt;b&gt;Xiao&amp;nbsp;Lin&lt;/b&gt;,  CEO, Botree"</f>
        <v>0</v>
      </c>
      <c r="I73" s="96"/>
      <c r="J73" s="105"/>
      <c r="K73" s="98"/>
      <c r="L73" s="106"/>
      <c r="M73" s="92"/>
      <c r="N73" s="107"/>
      <c r="O73" s="106"/>
      <c r="P73" s="92"/>
      <c r="Q73" s="107"/>
      <c r="R73" s="108"/>
      <c r="S73" s="87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1:64" s="102" customFormat="1" ht="27.75" customHeight="1">
      <c r="A74" s="89"/>
      <c r="B74" s="90"/>
      <c r="C74" s="103"/>
      <c r="D74" s="92"/>
      <c r="E74" s="93"/>
      <c r="F74" s="92"/>
      <c r="G74" s="94"/>
      <c r="H74" s="104">
        <f>"&lt;b&gt;Stian&amp;nbsp;Madshus&lt;/b&gt;, Gen&amp;rsquo;l Mgr. Eur., Elkem"</f>
        <v>0</v>
      </c>
      <c r="I74" s="96"/>
      <c r="J74" s="105"/>
      <c r="K74" s="98"/>
      <c r="L74" s="106"/>
      <c r="M74" s="92"/>
      <c r="N74" s="107"/>
      <c r="O74" s="106"/>
      <c r="P74" s="92"/>
      <c r="Q74" s="107"/>
      <c r="R74" s="108"/>
      <c r="S74" s="87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</row>
    <row r="75" spans="1:64" s="102" customFormat="1" ht="27.75" customHeight="1">
      <c r="A75" s="89"/>
      <c r="B75" s="90"/>
      <c r="C75" s="103"/>
      <c r="D75" s="92"/>
      <c r="E75" s="93"/>
      <c r="F75" s="92"/>
      <c r="G75" s="94"/>
      <c r="H75" s="104">
        <f>"&lt;b&gt;Claude&amp;nbsp;Chanson&lt;/b&gt;, Gen&amp;rsquo;l&amp;nbsp;Mgr., Recharge"</f>
        <v>0</v>
      </c>
      <c r="I75" s="96"/>
      <c r="J75" s="105"/>
      <c r="K75" s="98"/>
      <c r="L75" s="106"/>
      <c r="M75" s="92"/>
      <c r="N75" s="107"/>
      <c r="O75" s="106"/>
      <c r="P75" s="92"/>
      <c r="Q75" s="107"/>
      <c r="R75" s="108"/>
      <c r="S75" s="87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</row>
    <row r="76" spans="1:64" s="102" customFormat="1" ht="73.5" customHeight="1">
      <c r="A76" s="89" t="s">
        <v>254</v>
      </c>
      <c r="B76" s="90" t="s">
        <v>255</v>
      </c>
      <c r="C76" s="103">
        <f>"https://register.gotowebinar.com/register/3179894690953737741"</f>
        <v>0</v>
      </c>
      <c r="D76" s="92"/>
      <c r="E76" s="93" t="s">
        <v>256</v>
      </c>
      <c r="F76" s="92" t="s">
        <v>257</v>
      </c>
      <c r="G76" s="94">
        <f>"&amp;hellip; we will demonstrate that electrolyte flow can possibly eliminate dendrite growth, and also reduce SEI (solid electrolyte interphase) growth significantly, thus increasing stability and coulombic efficiency."</f>
        <v>0</v>
      </c>
      <c r="H76" s="104" t="s">
        <v>258</v>
      </c>
      <c r="I76" s="96"/>
      <c r="J76" s="105"/>
      <c r="K76" s="98"/>
      <c r="L76" s="106" t="s">
        <v>82</v>
      </c>
      <c r="M76" s="111"/>
      <c r="N76" s="112"/>
      <c r="O76" s="106" t="s">
        <v>83</v>
      </c>
      <c r="P76" s="92" t="s">
        <v>84</v>
      </c>
      <c r="Q76" s="107" t="s">
        <v>64</v>
      </c>
      <c r="R76" s="108" t="s">
        <v>65</v>
      </c>
      <c r="S76" s="87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</row>
    <row r="77" spans="1:64" s="102" customFormat="1" ht="42" customHeight="1">
      <c r="A77" s="89">
        <f>"Design News Free Webinar:  Intro to Electric Vehicle, Transportation, and Autonomous Vehicle Charging Systems"</f>
        <v>0</v>
      </c>
      <c r="B77" s="90" t="s">
        <v>259</v>
      </c>
      <c r="C77" s="103">
        <f>"https://event.on24.com/eventRegistration/EventLobbyServlet?target=reg20.jsp&amp;partnerref=INTDNNewsletter&amp;ADTRK=InformaMarkets&amp;elq_mid=15801&amp;elq_cid=156211&amp;eventid=3045300&amp;sessionid=1&amp;key=91E166B3C2507D4B85B6AA93B2062529&amp;regTag=&amp;V2=false&amp;sourcepage=register"</f>
        <v>0</v>
      </c>
      <c r="D77" s="92"/>
      <c r="E77" s="93" t="s">
        <v>260</v>
      </c>
      <c r="F77" s="92" t="s">
        <v>261</v>
      </c>
      <c r="G77" s="94">
        <f>"There&amp;rsquo;s more to know about charging electric vehicles than the simplicity and comfort of plug and play."</f>
        <v>0</v>
      </c>
      <c r="H77" s="104">
        <f>"&lt;b&gt;Alistair&amp;nbsp;Munro&lt;/b&gt;, Dir. Bus. Devel., Lean Design Canada, subs. Munro and Assoc."</f>
        <v>0</v>
      </c>
      <c r="I77" s="96"/>
      <c r="J77" s="105"/>
      <c r="K77" s="98"/>
      <c r="L77" s="106"/>
      <c r="M77" s="92"/>
      <c r="N77" s="107"/>
      <c r="O77" s="106" t="s">
        <v>262</v>
      </c>
      <c r="P77" s="92">
        <f>"https://www.designnews.com/webinars"</f>
        <v>0</v>
      </c>
      <c r="Q77" s="107" t="s">
        <v>64</v>
      </c>
      <c r="R77" s="108" t="s">
        <v>65</v>
      </c>
      <c r="S77" s="87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</row>
    <row r="78" spans="1:64" s="102" customFormat="1" ht="37.5" customHeight="1">
      <c r="A78" s="89"/>
      <c r="B78" s="90"/>
      <c r="C78" s="103"/>
      <c r="D78" s="92"/>
      <c r="E78" s="93"/>
      <c r="F78" s="92"/>
      <c r="G78" s="94"/>
      <c r="H78" s="104">
        <f>"&lt;b&gt;Tristan&amp;nbsp;de&amp;nbsp;Cande&lt;/b&gt;, Strat. Marketing Mgr., Ind. Magn. Sensors, Allegro MicroSystems, Inc."</f>
        <v>0</v>
      </c>
      <c r="I78" s="96"/>
      <c r="J78" s="105"/>
      <c r="K78" s="98"/>
      <c r="L78" s="106"/>
      <c r="M78" s="92"/>
      <c r="N78" s="107"/>
      <c r="O78" s="106"/>
      <c r="P78" s="92"/>
      <c r="Q78" s="107"/>
      <c r="R78" s="108"/>
      <c r="S78" s="87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</row>
    <row r="79" spans="1:64" s="102" customFormat="1" ht="28.5" customHeight="1">
      <c r="A79" s="89"/>
      <c r="B79" s="90"/>
      <c r="C79" s="103"/>
      <c r="D79" s="92"/>
      <c r="E79" s="93"/>
      <c r="F79" s="92"/>
      <c r="G79" s="94"/>
      <c r="H79" s="104">
        <f>"&lt;b&gt;Dave&amp;nbsp;Rababy&lt;/b&gt;, Dir. Bus. Devel., St&amp;auml;ubli"</f>
        <v>0</v>
      </c>
      <c r="I79" s="96"/>
      <c r="J79" s="105"/>
      <c r="K79" s="98"/>
      <c r="L79" s="106"/>
      <c r="M79" s="92"/>
      <c r="N79" s="107"/>
      <c r="O79" s="106"/>
      <c r="P79" s="92"/>
      <c r="Q79" s="107"/>
      <c r="R79" s="108"/>
      <c r="S79" s="87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</row>
    <row r="80" spans="1:64" s="102" customFormat="1" ht="38.25" customHeight="1">
      <c r="A80" s="89"/>
      <c r="B80" s="90"/>
      <c r="C80" s="103"/>
      <c r="D80" s="92"/>
      <c r="E80" s="93"/>
      <c r="F80" s="92"/>
      <c r="G80" s="94"/>
      <c r="H80" s="104">
        <f>"&lt;b&gt;Henrik&amp;nbsp;Mannesson&lt;/b&gt;, Sect. Gen&amp;rsquo;l Mgr., Grid Infrastr., Tex.&amp;nbsp;Instr."</f>
        <v>0</v>
      </c>
      <c r="I80" s="96"/>
      <c r="J80" s="105"/>
      <c r="K80" s="98"/>
      <c r="L80" s="106"/>
      <c r="M80" s="92"/>
      <c r="N80" s="107"/>
      <c r="O80" s="106"/>
      <c r="P80" s="92"/>
      <c r="Q80" s="107"/>
      <c r="R80" s="108"/>
      <c r="S80" s="87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</row>
    <row r="81" spans="1:64" s="102" customFormat="1" ht="54.75" customHeight="1">
      <c r="A81" s="89">
        <f>"Free Webinar:&amp;nbsp; Maglev for America"</f>
        <v>0</v>
      </c>
      <c r="B81" s="90" t="s">
        <v>263</v>
      </c>
      <c r="C81" s="103">
        <f>"placeholder:  https://myemail.constantcontact.com/Challenges-Facing-Higher-Education-In-Uncertain-Times.html?soid=1104540460625&amp;aid=CMRdenuk8D0"</f>
        <v>0</v>
      </c>
      <c r="D81" s="92"/>
      <c r="E81" s="93" t="s">
        <v>264</v>
      </c>
      <c r="F81" s="92" t="s">
        <v>265</v>
      </c>
      <c r="G81" s="94"/>
      <c r="H81" s="104">
        <f>"Speaker:  &lt;b&gt;James&amp;nbsp;C.&amp;nbsp;Jordan&lt;/b&gt;, Chief Exec., The Interstate Maglev Project"</f>
        <v>0</v>
      </c>
      <c r="I81" s="96"/>
      <c r="J81" s="105"/>
      <c r="K81" s="98"/>
      <c r="L81" s="106"/>
      <c r="M81" s="92"/>
      <c r="N81" s="107"/>
      <c r="O81" s="106">
        <f>"LIMBA:  Long Island Metroplitan Business Action"</f>
        <v>0</v>
      </c>
      <c r="P81" s="92">
        <f>"https://limba.net/"</f>
        <v>0</v>
      </c>
      <c r="Q81" s="107" t="s">
        <v>207</v>
      </c>
      <c r="R81" s="118" t="s">
        <v>54</v>
      </c>
      <c r="S81" s="87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</row>
    <row r="82" spans="1:64" s="102" customFormat="1" ht="32.25" customHeight="1">
      <c r="A82" s="89"/>
      <c r="B82" s="90"/>
      <c r="C82" s="103"/>
      <c r="D82" s="92"/>
      <c r="E82" s="93"/>
      <c r="F82" s="92"/>
      <c r="G82" s="94"/>
      <c r="H82" s="104">
        <f>"Host: &lt;b&gt;Ernie&amp;nbsp;Fazio&lt;/b&gt;, LIMBA"</f>
        <v>0</v>
      </c>
      <c r="I82" s="96"/>
      <c r="J82" s="105"/>
      <c r="K82" s="98"/>
      <c r="L82" s="106"/>
      <c r="M82" s="92"/>
      <c r="N82" s="107"/>
      <c r="O82" s="106"/>
      <c r="P82" s="92"/>
      <c r="Q82" s="107"/>
      <c r="R82" s="118"/>
      <c r="S82" s="87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</row>
    <row r="83" spans="1:64" ht="35.25" customHeight="1">
      <c r="A83" s="125" t="s">
        <v>266</v>
      </c>
      <c r="B83" s="126" t="s">
        <v>267</v>
      </c>
      <c r="C83" s="127">
        <f>"https://2021.ieeesyscon.org/"</f>
        <v>0</v>
      </c>
      <c r="D83" s="128" t="s">
        <v>268</v>
      </c>
      <c r="E83" s="129" t="s">
        <v>269</v>
      </c>
      <c r="F83" s="128" t="s">
        <v>270</v>
      </c>
      <c r="G83" s="130" t="s">
        <v>271</v>
      </c>
      <c r="H83" s="188"/>
      <c r="I83" s="132"/>
      <c r="J83" s="133"/>
      <c r="K83" s="134"/>
      <c r="L83" s="189" t="s">
        <v>272</v>
      </c>
      <c r="M83" s="100">
        <f>"https://edas.info/N26504"</f>
        <v>0</v>
      </c>
      <c r="N83" s="116" t="s">
        <v>273</v>
      </c>
      <c r="O83" s="135" t="s">
        <v>274</v>
      </c>
      <c r="P83" s="128">
        <f>"https://ieeesystemscouncil.org/pages/conferences"</f>
        <v>0</v>
      </c>
      <c r="Q83" s="136" t="s">
        <v>64</v>
      </c>
      <c r="R83" s="137" t="s">
        <v>65</v>
      </c>
      <c r="S83" s="87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</row>
    <row r="84" spans="1:64" ht="62.25" customHeight="1">
      <c r="A84" s="125"/>
      <c r="B84" s="126"/>
      <c r="C84" s="127">
        <f>"Alt link:  https://ieeesystemscouncil.org/event/2021-ieee-international-systems-conference"</f>
        <v>0</v>
      </c>
      <c r="D84" s="128"/>
      <c r="E84" s="129"/>
      <c r="F84" s="128"/>
      <c r="G84" s="130"/>
      <c r="H84" s="188"/>
      <c r="I84" s="132"/>
      <c r="J84" s="133"/>
      <c r="K84" s="134"/>
      <c r="L84" s="190">
        <f>"Abstracts and Full Papers Deadline:  https://2021.ieeesyscon.org/call-papers"</f>
        <v>0</v>
      </c>
      <c r="M84" s="170">
        <f>"Submission questions:  Shelby Lussier mailto:slussier@conferencecatalysts.com"</f>
        <v>0</v>
      </c>
      <c r="N84" s="116" t="s">
        <v>275</v>
      </c>
      <c r="O84" s="135"/>
      <c r="P84" s="128"/>
      <c r="Q84" s="136"/>
      <c r="R84" s="137"/>
      <c r="S84" s="87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</row>
    <row r="85" spans="1:19" s="102" customFormat="1" ht="42" customHeight="1">
      <c r="A85" s="125" t="s">
        <v>276</v>
      </c>
      <c r="B85" s="128" t="s">
        <v>277</v>
      </c>
      <c r="C85" s="128">
        <f>"https://zeroemissionbusconference.eu/"</f>
        <v>0</v>
      </c>
      <c r="D85" s="128" t="s">
        <v>278</v>
      </c>
      <c r="E85" s="129" t="s">
        <v>279</v>
      </c>
      <c r="F85" s="128" t="s">
        <v>280</v>
      </c>
      <c r="G85" s="191" t="s">
        <v>281</v>
      </c>
      <c r="H85" s="131"/>
      <c r="I85" s="192"/>
      <c r="J85" s="133"/>
      <c r="K85" s="193"/>
      <c r="L85" s="164">
        <f>"Free ZEBinar Series:  https://zeroemissionbusconference.eu/zebinars-2020/"</f>
        <v>0</v>
      </c>
      <c r="M85" s="151"/>
      <c r="N85" s="152"/>
      <c r="O85" s="194" t="s">
        <v>146</v>
      </c>
      <c r="P85" s="128">
        <f>"https://avere.org/calendar/"</f>
        <v>0</v>
      </c>
      <c r="Q85" s="195" t="s">
        <v>64</v>
      </c>
      <c r="R85" s="196" t="s">
        <v>65</v>
      </c>
      <c r="S85" s="140"/>
    </row>
    <row r="86" spans="1:64" ht="65.25" customHeight="1">
      <c r="A86" s="125"/>
      <c r="B86" s="128"/>
      <c r="C86" s="128">
        <f>"alt:  https://avere.org/event/zeb-zero-emission-bus-conference-2020/?instance_id=43"</f>
        <v>0</v>
      </c>
      <c r="D86" s="128"/>
      <c r="E86" s="128"/>
      <c r="F86" s="128"/>
      <c r="G86" s="191"/>
      <c r="H86" s="131"/>
      <c r="I86" s="192"/>
      <c r="J86" s="133"/>
      <c r="K86" s="193"/>
      <c r="L86" s="164"/>
      <c r="M86" s="151"/>
      <c r="N86" s="152"/>
      <c r="O86" s="194"/>
      <c r="P86" s="128"/>
      <c r="Q86" s="195"/>
      <c r="R86" s="196"/>
      <c r="S86" s="140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</row>
    <row r="87" spans="1:64" ht="36" customHeight="1">
      <c r="A87" s="125" t="s">
        <v>282</v>
      </c>
      <c r="B87" s="128" t="s">
        <v>283</v>
      </c>
      <c r="C87" s="127">
        <f>"https://www.intertraffic.com/en/amsterdam/"</f>
        <v>0</v>
      </c>
      <c r="D87" s="128" t="s">
        <v>284</v>
      </c>
      <c r="E87" s="129" t="s">
        <v>285</v>
      </c>
      <c r="F87" s="128" t="s">
        <v>286</v>
      </c>
      <c r="G87" s="130"/>
      <c r="H87" s="131" t="s">
        <v>111</v>
      </c>
      <c r="I87" s="135"/>
      <c r="J87" s="133"/>
      <c r="K87" s="134" t="s">
        <v>287</v>
      </c>
      <c r="L87" s="164">
        <f>"Exhibitor's info: https://www.intertraffic.com/amsterdam/exhibiting/"</f>
        <v>0</v>
      </c>
      <c r="M87" s="151">
        <f>"ITSUP (for startups):  https://www.intertraffic.com/itsup"</f>
        <v>0</v>
      </c>
      <c r="N87" s="152"/>
      <c r="O87" s="135" t="s">
        <v>288</v>
      </c>
      <c r="P87" s="128" t="s">
        <v>289</v>
      </c>
      <c r="Q87" s="136" t="s">
        <v>64</v>
      </c>
      <c r="R87" s="137" t="s">
        <v>65</v>
      </c>
      <c r="S87" s="87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</row>
    <row r="88" spans="1:64" s="102" customFormat="1" ht="54.75" customHeight="1">
      <c r="A88" s="89" t="s">
        <v>290</v>
      </c>
      <c r="B88" s="90" t="s">
        <v>291</v>
      </c>
      <c r="C88" s="103">
        <f>"https://register.gotowebinar.com/register/2144808947714061579"</f>
        <v>0</v>
      </c>
      <c r="D88" s="92"/>
      <c r="E88" s="93" t="s">
        <v>292</v>
      </c>
      <c r="F88" s="92" t="s">
        <v>293</v>
      </c>
      <c r="G88" s="94">
        <f>"We will focus on the international requirements applied to small format portable Li&amp;#8209;Ion batteries."</f>
        <v>0</v>
      </c>
      <c r="H88" s="104">
        <f>"&lt;b&gt;Cindy&amp;nbsp;Millsaps&lt;/b&gt;, CEO, Energy&amp;nbsp;Assurance"</f>
        <v>0</v>
      </c>
      <c r="I88" s="96"/>
      <c r="J88" s="105"/>
      <c r="K88" s="98"/>
      <c r="L88" s="106"/>
      <c r="M88" s="111"/>
      <c r="N88" s="112"/>
      <c r="O88" s="106" t="s">
        <v>83</v>
      </c>
      <c r="P88" s="92" t="s">
        <v>84</v>
      </c>
      <c r="Q88" s="107" t="s">
        <v>64</v>
      </c>
      <c r="R88" s="108" t="s">
        <v>65</v>
      </c>
      <c r="S88" s="87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</row>
    <row r="89" spans="1:64" ht="72" customHeight="1">
      <c r="A89" s="197">
        <f>"Free Virtual workshop on V2H-V2G &amp; Smart Mobility Management"</f>
        <v>0</v>
      </c>
      <c r="B89" s="111" t="s">
        <v>294</v>
      </c>
      <c r="C89" s="91">
        <f>"https://www.weezevent.com/v2h-v2g-smart-energy-management-solutions?lg_billetterie=47&amp;id_evenement=697286"</f>
        <v>0</v>
      </c>
      <c r="D89" s="92"/>
      <c r="E89" s="93" t="s">
        <v>295</v>
      </c>
      <c r="F89" s="92" t="s">
        <v>296</v>
      </c>
      <c r="G89" s="198" t="s">
        <v>297</v>
      </c>
      <c r="H89" s="95"/>
      <c r="I89" s="96"/>
      <c r="J89" s="199"/>
      <c r="K89" s="183"/>
      <c r="L89" s="184"/>
      <c r="M89" s="159"/>
      <c r="N89" s="200"/>
      <c r="O89" s="201" t="s">
        <v>298</v>
      </c>
      <c r="P89" s="111" t="s">
        <v>299</v>
      </c>
      <c r="Q89" s="112" t="s">
        <v>64</v>
      </c>
      <c r="R89" s="108" t="s">
        <v>65</v>
      </c>
      <c r="S89" s="87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</row>
    <row r="90" spans="1:64" ht="57" customHeight="1">
      <c r="A90" s="125" t="s">
        <v>300</v>
      </c>
      <c r="B90" s="128" t="s">
        <v>301</v>
      </c>
      <c r="C90" s="127">
        <f>"https://ieeegreentech.org/"</f>
        <v>0</v>
      </c>
      <c r="D90" s="128" t="s">
        <v>302</v>
      </c>
      <c r="E90" s="93" t="s">
        <v>303</v>
      </c>
      <c r="F90" s="128"/>
      <c r="G90" s="130">
        <f>"&amp;hellip; a forum for engineers, researchers and specialists &amp;hellip; to discuss and present the latest developments and applications &amp;hellip;"</f>
        <v>0</v>
      </c>
      <c r="H90" s="202"/>
      <c r="I90" s="135"/>
      <c r="J90" s="133"/>
      <c r="K90" s="134"/>
      <c r="L90" s="164"/>
      <c r="M90" s="151"/>
      <c r="N90" s="152"/>
      <c r="O90" s="135"/>
      <c r="P90" s="128"/>
      <c r="Q90" s="136"/>
      <c r="R90" s="137"/>
      <c r="S90" s="87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</row>
    <row r="91" spans="1:64" s="102" customFormat="1" ht="100.5" customHeight="1">
      <c r="A91" s="203" t="s">
        <v>304</v>
      </c>
      <c r="B91" s="203" t="s">
        <v>305</v>
      </c>
      <c r="C91" s="204">
        <f>"https://www.sae.org/learn/content/c1603/"</f>
        <v>0</v>
      </c>
      <c r="D91" s="204" t="s">
        <v>165</v>
      </c>
      <c r="E91" s="205" t="s">
        <v>306</v>
      </c>
      <c r="F91" s="92" t="s">
        <v>307</v>
      </c>
      <c r="G91" s="206" t="s">
        <v>308</v>
      </c>
      <c r="H91" s="207" t="s">
        <v>309</v>
      </c>
      <c r="I91" s="96"/>
      <c r="J91" s="97"/>
      <c r="K91" s="98"/>
      <c r="L91" s="158" t="s">
        <v>310</v>
      </c>
      <c r="M91" s="159" t="s">
        <v>311</v>
      </c>
      <c r="N91" s="101"/>
      <c r="O91" s="110" t="s">
        <v>171</v>
      </c>
      <c r="P91" s="92" t="s">
        <v>172</v>
      </c>
      <c r="Q91" s="156" t="s">
        <v>64</v>
      </c>
      <c r="R91" s="208" t="s">
        <v>65</v>
      </c>
      <c r="S91" s="87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</row>
    <row r="92" spans="1:64" s="102" customFormat="1" ht="39.75" customHeight="1">
      <c r="A92" s="89">
        <f>"Transitioning to a Clean-Energy Economy; followed by a Round&amp;#8209;Table Discussion"</f>
        <v>0</v>
      </c>
      <c r="B92" s="90" t="s">
        <v>312</v>
      </c>
      <c r="C92" s="103">
        <f>"https://lcv.swoogo.com/insiderbriefing/begin?reg_type_id=158661&amp;i=BubvAiL1c2sRgs-6H6MtgdCod-xzMapP"</f>
        <v>0</v>
      </c>
      <c r="D92" s="92"/>
      <c r="E92" s="93" t="s">
        <v>313</v>
      </c>
      <c r="F92" s="92" t="s">
        <v>314</v>
      </c>
      <c r="G92" s="94">
        <f>"&amp;hellip; conversation &amp;hellip; about strategy for a bold economic recovery that supports clean energy."</f>
        <v>0</v>
      </c>
      <c r="H92" s="104">
        <f>"&lt;b&gt;Jennifer&amp;nbsp;Granholm&lt;/b&gt;,  US Sec&amp;rsquo;y of Energy, in conversation with"</f>
        <v>0</v>
      </c>
      <c r="I92" s="209"/>
      <c r="J92" s="210"/>
      <c r="K92" s="211"/>
      <c r="L92" s="106"/>
      <c r="M92" s="92"/>
      <c r="N92" s="107"/>
      <c r="O92" s="106" t="s">
        <v>315</v>
      </c>
      <c r="P92" s="92"/>
      <c r="Q92" s="107" t="s">
        <v>316</v>
      </c>
      <c r="R92" s="212" t="s">
        <v>54</v>
      </c>
      <c r="S92" s="87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</row>
    <row r="93" spans="1:64" s="102" customFormat="1" ht="35.25" customHeight="1">
      <c r="A93" s="89"/>
      <c r="B93" s="90"/>
      <c r="C93" s="103"/>
      <c r="D93" s="92"/>
      <c r="E93" s="93"/>
      <c r="F93" s="92"/>
      <c r="G93" s="94"/>
      <c r="H93" s="104">
        <f>"&lt;b&gt;Donna&amp;nbsp;Edwards&lt;/b&gt;, former U.S. Representative"</f>
        <v>0</v>
      </c>
      <c r="I93" s="209"/>
      <c r="J93" s="210"/>
      <c r="K93" s="211"/>
      <c r="L93" s="106"/>
      <c r="M93" s="92"/>
      <c r="N93" s="107"/>
      <c r="O93" s="106"/>
      <c r="P93" s="92"/>
      <c r="Q93" s="107"/>
      <c r="R93" s="212"/>
      <c r="S93" s="87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</row>
    <row r="94" spans="1:64" s="102" customFormat="1" ht="27" customHeight="1">
      <c r="A94" s="89"/>
      <c r="B94" s="89"/>
      <c r="C94" s="103"/>
      <c r="D94" s="103"/>
      <c r="E94" s="93"/>
      <c r="F94" s="92"/>
      <c r="G94" s="94"/>
      <c r="H94" s="207">
        <f>"&lt;b&gt;Sara&amp;nbsp;Chieffo&lt;/b&gt;, LCV VP Gov.&amp;nbsp;Aff."</f>
        <v>0</v>
      </c>
      <c r="I94" s="209"/>
      <c r="J94" s="210"/>
      <c r="K94" s="211"/>
      <c r="L94" s="106"/>
      <c r="M94" s="92"/>
      <c r="N94" s="107"/>
      <c r="O94" s="106"/>
      <c r="P94" s="92"/>
      <c r="Q94" s="107"/>
      <c r="R94" s="212"/>
      <c r="S94" s="87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</row>
    <row r="95" spans="1:64" s="102" customFormat="1" ht="27" customHeight="1">
      <c r="A95" s="89"/>
      <c r="B95" s="89"/>
      <c r="C95" s="103"/>
      <c r="D95" s="103"/>
      <c r="E95" s="93"/>
      <c r="F95" s="92"/>
      <c r="G95" s="94"/>
      <c r="H95" s="207">
        <f>"&lt;b&gt;Anna&amp;nbsp;Fendley&lt;/b&gt;, USW Dir. Regulatory &amp; State Policy"</f>
        <v>0</v>
      </c>
      <c r="I95" s="209"/>
      <c r="J95" s="210"/>
      <c r="K95" s="211"/>
      <c r="L95" s="106"/>
      <c r="M95" s="92"/>
      <c r="N95" s="107"/>
      <c r="O95" s="106"/>
      <c r="P95" s="92"/>
      <c r="Q95" s="107"/>
      <c r="R95" s="212"/>
      <c r="S95" s="87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</row>
    <row r="96" spans="1:64" s="102" customFormat="1" ht="27" customHeight="1">
      <c r="A96" s="89"/>
      <c r="B96" s="89"/>
      <c r="C96" s="103"/>
      <c r="D96" s="103"/>
      <c r="E96" s="93"/>
      <c r="F96" s="92"/>
      <c r="G96" s="94"/>
      <c r="H96" s="207">
        <f>"&lt;b&gt;Harold&amp;nbsp;Mitchell&amp;nbsp;Jr.&lt;/b&gt;, founder, ReGenesis Project"</f>
        <v>0</v>
      </c>
      <c r="I96" s="209"/>
      <c r="J96" s="210"/>
      <c r="K96" s="211"/>
      <c r="L96" s="106"/>
      <c r="M96" s="92"/>
      <c r="N96" s="107"/>
      <c r="O96" s="106"/>
      <c r="P96" s="92"/>
      <c r="Q96" s="107"/>
      <c r="R96" s="212"/>
      <c r="S96" s="87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</row>
    <row r="97" spans="1:64" s="102" customFormat="1" ht="30.75" customHeight="1">
      <c r="A97" s="89" t="s">
        <v>317</v>
      </c>
      <c r="B97" s="92" t="s">
        <v>318</v>
      </c>
      <c r="C97" s="103">
        <f>"/HSR-Conf-2021.html"</f>
        <v>0</v>
      </c>
      <c r="D97" s="92"/>
      <c r="E97" s="93" t="s">
        <v>319</v>
      </c>
      <c r="F97" s="92" t="s">
        <v>320</v>
      </c>
      <c r="G97" s="94" t="s">
        <v>321</v>
      </c>
      <c r="H97" s="213"/>
      <c r="I97" s="106"/>
      <c r="J97" s="97"/>
      <c r="K97" s="98"/>
      <c r="L97" s="113"/>
      <c r="M97" s="100"/>
      <c r="N97" s="116"/>
      <c r="O97" s="106"/>
      <c r="P97" s="92"/>
      <c r="Q97" s="107" t="s">
        <v>64</v>
      </c>
      <c r="R97" s="208" t="s">
        <v>65</v>
      </c>
      <c r="S97" s="87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</row>
    <row r="98" spans="1:64" s="102" customFormat="1" ht="75.75" customHeight="1">
      <c r="A98" s="89"/>
      <c r="B98" s="92"/>
      <c r="C98" s="103">
        <f>"https://www.apta.com/conferences-events/high-speed-rail/"</f>
        <v>0</v>
      </c>
      <c r="D98" s="92"/>
      <c r="E98" s="93"/>
      <c r="F98" s="92"/>
      <c r="G98" s="94"/>
      <c r="H98" s="213"/>
      <c r="I98" s="106"/>
      <c r="J98" s="97"/>
      <c r="K98" s="98"/>
      <c r="L98" s="113"/>
      <c r="M98" s="100"/>
      <c r="N98" s="116"/>
      <c r="O98" s="106"/>
      <c r="P98" s="92"/>
      <c r="Q98" s="107"/>
      <c r="R98" s="208"/>
      <c r="S98" s="87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</row>
    <row r="99" spans="1:64" s="102" customFormat="1" ht="61.5" customHeight="1">
      <c r="A99" s="89" t="s">
        <v>322</v>
      </c>
      <c r="B99" s="90" t="s">
        <v>323</v>
      </c>
      <c r="C99" s="103">
        <f>"https://www.sae.org/learn/content/c2017/"</f>
        <v>0</v>
      </c>
      <c r="D99" s="92" t="s">
        <v>324</v>
      </c>
      <c r="E99" s="93" t="s">
        <v>325</v>
      </c>
      <c r="F99" s="92" t="s">
        <v>326</v>
      </c>
      <c r="G99" s="94">
        <f>"&amp;hellip; eMobility also presents exciting opportunities to those who are ready to understand how high voltage batteries contribute to the success of eMobility."</f>
        <v>0</v>
      </c>
      <c r="H99" s="104" t="s">
        <v>327</v>
      </c>
      <c r="I99" s="96"/>
      <c r="J99" s="97"/>
      <c r="K99" s="98"/>
      <c r="L99" s="99" t="s">
        <v>328</v>
      </c>
      <c r="M99" s="100" t="s">
        <v>329</v>
      </c>
      <c r="N99" s="101"/>
      <c r="O99" s="110" t="s">
        <v>171</v>
      </c>
      <c r="P99" s="92" t="s">
        <v>172</v>
      </c>
      <c r="Q99" s="156" t="s">
        <v>64</v>
      </c>
      <c r="R99" s="208" t="s">
        <v>65</v>
      </c>
      <c r="S99" s="87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</row>
    <row r="100" spans="1:64" s="102" customFormat="1" ht="61.5" customHeight="1">
      <c r="A100" s="89" t="s">
        <v>163</v>
      </c>
      <c r="B100" s="90" t="s">
        <v>330</v>
      </c>
      <c r="C100" s="103">
        <f>"https://www.sae.org/learn/content/c1869"</f>
        <v>0</v>
      </c>
      <c r="D100" s="92" t="s">
        <v>165</v>
      </c>
      <c r="E100" s="93" t="s">
        <v>331</v>
      </c>
      <c r="F100" s="92" t="s">
        <v>167</v>
      </c>
      <c r="G100" s="94" t="s">
        <v>168</v>
      </c>
      <c r="H100" s="104">
        <f>"Instructor: Alan Moore"</f>
        <v>0</v>
      </c>
      <c r="I100" s="96"/>
      <c r="J100" s="105"/>
      <c r="K100" s="98"/>
      <c r="L100" s="106" t="s">
        <v>169</v>
      </c>
      <c r="M100" s="111" t="s">
        <v>170</v>
      </c>
      <c r="N100" s="112"/>
      <c r="O100" s="106" t="s">
        <v>171</v>
      </c>
      <c r="P100" s="92" t="s">
        <v>172</v>
      </c>
      <c r="Q100" s="107" t="s">
        <v>64</v>
      </c>
      <c r="R100" s="208" t="s">
        <v>65</v>
      </c>
      <c r="S100" s="87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</row>
    <row r="101" spans="1:64" s="102" customFormat="1" ht="87" customHeight="1">
      <c r="A101" s="89" t="s">
        <v>332</v>
      </c>
      <c r="B101" s="90" t="s">
        <v>333</v>
      </c>
      <c r="C101" s="103">
        <f>"http://transportationcamp.org/events/phl2021/"</f>
        <v>0</v>
      </c>
      <c r="D101" s="92" t="s">
        <v>87</v>
      </c>
      <c r="E101" s="93" t="s">
        <v>334</v>
      </c>
      <c r="F101" s="92" t="s">
        <v>89</v>
      </c>
      <c r="G101" s="94">
        <f>"&amp;hellip; a day filled with ideas at the intersection of transportation, technology, and urbanism."</f>
        <v>0</v>
      </c>
      <c r="H101" s="104">
        <f>"registration:  https://www.eventbrite.com/e/transportationcamp-phlvirtual-2021-registration-140603768657"</f>
        <v>0</v>
      </c>
      <c r="I101" s="96"/>
      <c r="J101" s="105"/>
      <c r="K101" s="117">
        <f>"Series link:  http://transportationcamp.org/"</f>
        <v>0</v>
      </c>
      <c r="L101" s="106">
        <f>"Essential guide:  http://transportationcamp.org/2011/02/how-transportationcamp-works-the-essential-guide/"</f>
        <v>0</v>
      </c>
      <c r="M101" s="111">
        <f>"Academic Innovation Award &lt;/b&gt;&lt;i&gt;(Student&amp;nbsp;Competition)&lt;/i&gt; due 2021/03/15 (extended)"</f>
        <v>0</v>
      </c>
      <c r="N101" s="116">
        <f>"https://docs.google.com/forms/d/e/1FAIpQLSch14g_2RnTaq1cdmHLVbTJcFA3ozxlnGeQwKfm_ec-OPLT2w/viewform"</f>
        <v>0</v>
      </c>
      <c r="O101" s="106"/>
      <c r="P101" s="92"/>
      <c r="Q101" s="107" t="s">
        <v>53</v>
      </c>
      <c r="R101" s="212" t="s">
        <v>91</v>
      </c>
      <c r="S101" s="87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</row>
    <row r="102" spans="1:19" s="102" customFormat="1" ht="51" customHeight="1">
      <c r="A102" s="89" t="s">
        <v>335</v>
      </c>
      <c r="B102" s="90" t="s">
        <v>336</v>
      </c>
      <c r="C102" s="103">
        <f>"https://itsap2020.com/"</f>
        <v>0</v>
      </c>
      <c r="D102" s="92" t="s">
        <v>337</v>
      </c>
      <c r="E102" s="93" t="s">
        <v>338</v>
      </c>
      <c r="F102" s="92" t="s">
        <v>339</v>
      </c>
      <c r="G102" s="94" t="s">
        <v>340</v>
      </c>
      <c r="H102" s="213"/>
      <c r="I102" s="96"/>
      <c r="J102" s="97"/>
      <c r="K102" s="98"/>
      <c r="L102" s="113"/>
      <c r="M102" s="100"/>
      <c r="N102" s="116"/>
      <c r="O102" s="106"/>
      <c r="P102" s="92"/>
      <c r="Q102" s="107" t="s">
        <v>64</v>
      </c>
      <c r="R102" s="208" t="s">
        <v>65</v>
      </c>
      <c r="S102" s="140"/>
    </row>
    <row r="103" spans="1:19" s="102" customFormat="1" ht="38.25" customHeight="1">
      <c r="A103" s="89" t="s">
        <v>341</v>
      </c>
      <c r="B103" s="90"/>
      <c r="C103" s="103">
        <f>"https://itsap2020.com/global-innovation-challenge/"</f>
        <v>0</v>
      </c>
      <c r="D103" s="92"/>
      <c r="E103" s="93"/>
      <c r="F103" s="92"/>
      <c r="G103" s="94" t="s">
        <v>342</v>
      </c>
      <c r="H103" s="213"/>
      <c r="I103" s="96"/>
      <c r="J103" s="97"/>
      <c r="K103" s="98"/>
      <c r="L103" s="113"/>
      <c r="M103" s="100"/>
      <c r="N103" s="116"/>
      <c r="O103" s="106"/>
      <c r="P103" s="92"/>
      <c r="Q103" s="107"/>
      <c r="R103" s="108"/>
      <c r="S103" s="140"/>
    </row>
    <row r="104" spans="1:64" ht="41.25" customHeight="1">
      <c r="A104" s="89" t="s">
        <v>343</v>
      </c>
      <c r="B104" s="90" t="s">
        <v>344</v>
      </c>
      <c r="C104" s="103">
        <f>"https://spring.smartcitiesconnect.org/"</f>
        <v>0</v>
      </c>
      <c r="D104" s="92" t="s">
        <v>345</v>
      </c>
      <c r="E104" s="93" t="s">
        <v>346</v>
      </c>
      <c r="F104" s="92" t="s">
        <v>347</v>
      </c>
      <c r="G104" s="94" t="s">
        <v>348</v>
      </c>
      <c r="H104" s="213"/>
      <c r="I104" s="96"/>
      <c r="J104" s="97"/>
      <c r="K104" s="98"/>
      <c r="L104" s="150">
        <f>"Panel Proposals:  https://fall.smartcitiesconnect.org/panel/form.html"</f>
        <v>0</v>
      </c>
      <c r="M104" s="170"/>
      <c r="N104" s="171" t="s">
        <v>349</v>
      </c>
      <c r="O104" s="106" t="s">
        <v>350</v>
      </c>
      <c r="P104" s="92">
        <f>"https://techconnect.org/events/"</f>
        <v>0</v>
      </c>
      <c r="Q104" s="107" t="s">
        <v>64</v>
      </c>
      <c r="R104" s="208" t="s">
        <v>65</v>
      </c>
      <c r="S104" s="140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</row>
    <row r="105" spans="1:64" ht="42" customHeight="1">
      <c r="A105" s="89"/>
      <c r="B105" s="90"/>
      <c r="C105" s="103"/>
      <c r="D105" s="92"/>
      <c r="E105" s="93"/>
      <c r="F105" s="92"/>
      <c r="G105" s="94"/>
      <c r="H105" s="213"/>
      <c r="I105" s="96"/>
      <c r="J105" s="97"/>
      <c r="K105" s="98"/>
      <c r="L105" s="164">
        <f>"Smart Cities Startup Challenge:  https://spring.smartcitiesconnect.org/innovation_challenge.html"</f>
        <v>0</v>
      </c>
      <c r="M105" s="151">
        <f>"https://spring.smartcitiesconnect.org/innovation/form.html"</f>
        <v>0</v>
      </c>
      <c r="N105" s="152" t="s">
        <v>351</v>
      </c>
      <c r="O105" s="106"/>
      <c r="P105" s="92"/>
      <c r="Q105" s="107"/>
      <c r="R105" s="208"/>
      <c r="S105" s="140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</row>
    <row r="106" spans="1:19" s="102" customFormat="1" ht="42" customHeight="1">
      <c r="A106" s="89" t="s">
        <v>352</v>
      </c>
      <c r="B106" s="90" t="s">
        <v>353</v>
      </c>
      <c r="C106" s="103">
        <f>"https://www.sae.org/attend/wcx"</f>
        <v>0</v>
      </c>
      <c r="D106" s="92"/>
      <c r="E106" s="93" t="s">
        <v>354</v>
      </c>
      <c r="F106" s="92" t="s">
        <v>355</v>
      </c>
      <c r="G106" s="94">
        <f>"WCX&amp;trade; Digital Summit: Autonomous. Connected. Electrified."</f>
        <v>0</v>
      </c>
      <c r="H106" s="104"/>
      <c r="I106" s="96"/>
      <c r="J106" s="97"/>
      <c r="K106" s="117">
        <f>"Exhibit-Sponsor:  https://www.sae.org/attend/wcx/exhibit-sponsor"</f>
        <v>0</v>
      </c>
      <c r="L106" s="113">
        <f>"Registration:  https://www.sae.org/attend/wcx/registration"</f>
        <v>0</v>
      </c>
      <c r="M106" s="100"/>
      <c r="N106" s="116"/>
      <c r="O106" s="106" t="s">
        <v>51</v>
      </c>
      <c r="P106" s="92" t="s">
        <v>52</v>
      </c>
      <c r="Q106" s="107" t="s">
        <v>53</v>
      </c>
      <c r="R106" s="212" t="s">
        <v>54</v>
      </c>
      <c r="S106" s="140"/>
    </row>
    <row r="107" spans="1:64" ht="103.5" customHeight="1">
      <c r="A107" s="125" t="s">
        <v>356</v>
      </c>
      <c r="B107" s="126" t="s">
        <v>137</v>
      </c>
      <c r="C107" s="127">
        <f>"https://driveworldexpo.com/"</f>
        <v>0</v>
      </c>
      <c r="D107" s="128" t="s">
        <v>357</v>
      </c>
      <c r="E107" s="93" t="s">
        <v>358</v>
      </c>
      <c r="F107" s="128" t="s">
        <v>140</v>
      </c>
      <c r="G107" s="130" t="s">
        <v>141</v>
      </c>
      <c r="H107" s="131">
        <f>"Colacated with DesignCon:  https://www.designcon.com/en/home.html"</f>
        <v>0</v>
      </c>
      <c r="I107" s="192">
        <f>"ESC Conference Overview:  https://driveworldexpo.com/esc-conference-overview"</f>
        <v>0</v>
      </c>
      <c r="J107" s="192"/>
      <c r="K107" s="134">
        <f>"Regis. Inquiry:  https://driveworldexpo.com/registration-inquiry-form"</f>
        <v>0</v>
      </c>
      <c r="L107" s="150">
        <f>"colocated with Embedded Systems Conference (ESC):"</f>
        <v>0</v>
      </c>
      <c r="M107" s="151">
        <f>"https://designcon.com/drive-world-esc"</f>
        <v>0</v>
      </c>
      <c r="N107" s="152" t="s">
        <v>111</v>
      </c>
      <c r="O107" s="153" t="s">
        <v>142</v>
      </c>
      <c r="P107" s="154">
        <f>"https://www.informamarkets.com/en/home.html"</f>
        <v>0</v>
      </c>
      <c r="Q107" s="136" t="s">
        <v>64</v>
      </c>
      <c r="R107" s="137" t="s">
        <v>65</v>
      </c>
      <c r="S107" s="87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</row>
    <row r="108" spans="1:64" ht="41.25" customHeight="1">
      <c r="A108" s="214"/>
      <c r="B108" s="215"/>
      <c r="C108" s="216">
        <f>"https://thesustainabilityimperative.splashthat.com/"</f>
        <v>0</v>
      </c>
      <c r="D108" s="217"/>
      <c r="E108" s="218"/>
      <c r="F108" s="217"/>
      <c r="G108" s="219"/>
      <c r="H108" s="220"/>
      <c r="I108" s="221"/>
      <c r="J108" s="221"/>
      <c r="K108" s="222"/>
      <c r="L108" s="223"/>
      <c r="M108" s="217"/>
      <c r="N108" s="222"/>
      <c r="O108" s="224"/>
      <c r="P108" s="217"/>
      <c r="Q108" s="222"/>
      <c r="R108" s="225"/>
      <c r="S108" s="87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</row>
    <row r="109" spans="1:64" ht="35.25" customHeight="1">
      <c r="A109" s="89" t="s">
        <v>266</v>
      </c>
      <c r="B109" s="90" t="s">
        <v>267</v>
      </c>
      <c r="C109" s="103">
        <f>"https://2021.ieeesyscon.org/"</f>
        <v>0</v>
      </c>
      <c r="D109" s="92" t="s">
        <v>359</v>
      </c>
      <c r="E109" s="93" t="s">
        <v>360</v>
      </c>
      <c r="F109" s="92" t="s">
        <v>270</v>
      </c>
      <c r="G109" s="94" t="s">
        <v>271</v>
      </c>
      <c r="H109" s="226"/>
      <c r="I109" s="96"/>
      <c r="J109" s="97"/>
      <c r="K109" s="98"/>
      <c r="L109" s="189" t="s">
        <v>272</v>
      </c>
      <c r="M109" s="100">
        <f>"https://edas.info/N26504"</f>
        <v>0</v>
      </c>
      <c r="N109" s="116" t="s">
        <v>273</v>
      </c>
      <c r="O109" s="106" t="s">
        <v>274</v>
      </c>
      <c r="P109" s="92">
        <f>"https://ieeesystemscouncil.org/pages/conferences"</f>
        <v>0</v>
      </c>
      <c r="Q109" s="107" t="s">
        <v>64</v>
      </c>
      <c r="R109" s="108" t="s">
        <v>65</v>
      </c>
      <c r="S109" s="87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</row>
    <row r="110" spans="1:64" ht="62.25" customHeight="1">
      <c r="A110" s="89"/>
      <c r="B110" s="90"/>
      <c r="C110" s="103">
        <f>"Alt link:  https://ieeesystemscouncil.org/event/2021-ieee-international-systems-conference"</f>
        <v>0</v>
      </c>
      <c r="D110" s="92"/>
      <c r="E110" s="93"/>
      <c r="F110" s="92"/>
      <c r="G110" s="94"/>
      <c r="H110" s="226"/>
      <c r="I110" s="96"/>
      <c r="J110" s="97"/>
      <c r="K110" s="98"/>
      <c r="L110" s="190">
        <f>"Abstracts and Full Papers Deadline:  https://2021.ieeesyscon.org/call-papers"</f>
        <v>0</v>
      </c>
      <c r="M110" s="170">
        <f>"Submission questions:  Shelby Lussier mailto:slussier@conferencecatalysts.com"</f>
        <v>0</v>
      </c>
      <c r="N110" s="116" t="s">
        <v>275</v>
      </c>
      <c r="O110" s="106"/>
      <c r="P110" s="92"/>
      <c r="Q110" s="107"/>
      <c r="R110" s="108"/>
      <c r="S110" s="87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</row>
    <row r="111" spans="1:64" ht="78" customHeight="1">
      <c r="A111" s="89" t="s">
        <v>361</v>
      </c>
      <c r="B111" s="90" t="s">
        <v>362</v>
      </c>
      <c r="C111" s="103">
        <f>"https://mobility21.cmu.edu/events/the-national-mobility-summit/the-third-annual-national-mobility-summit-2021/"</f>
        <v>0</v>
      </c>
      <c r="D111" s="92" t="s">
        <v>363</v>
      </c>
      <c r="E111" s="93" t="s">
        <v>364</v>
      </c>
      <c r="F111" s="92" t="s">
        <v>365</v>
      </c>
      <c r="G111" s="94" t="s">
        <v>366</v>
      </c>
      <c r="H111" s="213"/>
      <c r="I111" s="96" t="s">
        <v>367</v>
      </c>
      <c r="J111" s="97"/>
      <c r="K111" s="98">
        <f>"mailto:LKSchweyer@cmu.edu"</f>
        <v>0</v>
      </c>
      <c r="L111" s="113"/>
      <c r="M111" s="100"/>
      <c r="N111" s="116"/>
      <c r="O111" s="106" t="s">
        <v>368</v>
      </c>
      <c r="P111" s="92">
        <f>"https://www.transportation.gov/content/university-transportation-centers"</f>
        <v>0</v>
      </c>
      <c r="Q111" s="107" t="s">
        <v>369</v>
      </c>
      <c r="R111" s="118" t="s">
        <v>54</v>
      </c>
      <c r="S111" s="140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</row>
    <row r="112" spans="1:64" s="102" customFormat="1" ht="52.5" customHeight="1">
      <c r="A112" s="89" t="s">
        <v>370</v>
      </c>
      <c r="B112" s="90" t="s">
        <v>371</v>
      </c>
      <c r="C112" s="103">
        <f>"https://www.sae.org/learn/content/c2001/"</f>
        <v>0</v>
      </c>
      <c r="D112" s="92" t="s">
        <v>372</v>
      </c>
      <c r="E112" s="93" t="s">
        <v>373</v>
      </c>
      <c r="F112" s="92" t="s">
        <v>374</v>
      </c>
      <c r="G112" s="94" t="s">
        <v>375</v>
      </c>
      <c r="H112" s="104" t="s">
        <v>376</v>
      </c>
      <c r="I112" s="96"/>
      <c r="J112" s="105"/>
      <c r="K112" s="98"/>
      <c r="L112" s="113" t="s">
        <v>169</v>
      </c>
      <c r="M112" s="159" t="s">
        <v>170</v>
      </c>
      <c r="N112" s="200">
        <f>"Instructor: Yves Racette"</f>
        <v>0</v>
      </c>
      <c r="O112" s="106" t="s">
        <v>171</v>
      </c>
      <c r="P112" s="92">
        <f>"https://www.sae.org/learn/professional-development"</f>
        <v>0</v>
      </c>
      <c r="Q112" s="107" t="s">
        <v>64</v>
      </c>
      <c r="R112" s="108" t="s">
        <v>65</v>
      </c>
      <c r="S112" s="87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</row>
    <row r="113" spans="1:64" s="102" customFormat="1" ht="29.25" customHeight="1">
      <c r="A113" s="89">
        <f>"Charged Mgazine&amp;rsquo;s April 2021 Conference Sessions"</f>
        <v>0</v>
      </c>
      <c r="B113" s="90" t="s">
        <v>377</v>
      </c>
      <c r="C113" s="103">
        <f>"https://chargedevs.com/sessions/"</f>
        <v>0</v>
      </c>
      <c r="D113" s="92"/>
      <c r="E113" s="93" t="s">
        <v>378</v>
      </c>
      <c r="F113" s="92" t="s">
        <v>379</v>
      </c>
      <c r="G113" s="94">
        <f>"Sign-up now to build your schedule.&amp;nbsp; IT&amp;rsquo;S FREE!"</f>
        <v>0</v>
      </c>
      <c r="H113" s="104">
        <f>"This virtual conference is a collection of 42 individual sessions, each with its own registration link, and each available either live, or (afterwards) recorded."</f>
        <v>0</v>
      </c>
      <c r="I113" s="96"/>
      <c r="J113" s="105"/>
      <c r="K113" s="98"/>
      <c r="L113" s="113"/>
      <c r="M113" s="100"/>
      <c r="N113" s="116"/>
      <c r="O113" s="106" t="s">
        <v>75</v>
      </c>
      <c r="P113" s="92" t="s">
        <v>380</v>
      </c>
      <c r="Q113" s="107" t="s">
        <v>64</v>
      </c>
      <c r="R113" s="108" t="s">
        <v>65</v>
      </c>
      <c r="S113" s="87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</row>
    <row r="114" spans="1:64" s="102" customFormat="1" ht="65.25" customHeight="1">
      <c r="A114" s="89"/>
      <c r="B114" s="90"/>
      <c r="C114" s="103">
        <f>"Last year&amp;rsquo;s sessions:  https://chargedevs.com/september-2020-conference-sessions/"</f>
        <v>0</v>
      </c>
      <c r="D114" s="92"/>
      <c r="E114" s="92"/>
      <c r="F114" s="92"/>
      <c r="G114" s="94"/>
      <c r="H114" s="104"/>
      <c r="I114" s="96"/>
      <c r="J114" s="105"/>
      <c r="K114" s="98"/>
      <c r="L114" s="113"/>
      <c r="M114" s="100"/>
      <c r="N114" s="116"/>
      <c r="O114" s="106"/>
      <c r="P114" s="92"/>
      <c r="Q114" s="107"/>
      <c r="R114" s="108"/>
      <c r="S114" s="87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</row>
    <row r="115" spans="1:64" s="102" customFormat="1" ht="65.25" customHeight="1">
      <c r="A115" s="89" t="s">
        <v>381</v>
      </c>
      <c r="B115" s="90" t="s">
        <v>382</v>
      </c>
      <c r="C115" s="103">
        <f>"https://www.ibtta.org/events/transportation-finance-summit"</f>
        <v>0</v>
      </c>
      <c r="D115" s="92"/>
      <c r="E115" s="93" t="s">
        <v>378</v>
      </c>
      <c r="F115" s="92" t="s">
        <v>383</v>
      </c>
      <c r="G115" s="94">
        <f>"&amp;hellip; will focus on issues appealing to financial professionals, policymakers and practitioners &amp;hellip;"</f>
        <v>0</v>
      </c>
      <c r="H115" s="104"/>
      <c r="I115" s="96"/>
      <c r="J115" s="105"/>
      <c r="K115" s="98"/>
      <c r="L115" s="113">
        <f>"registration:  https://my.ibtta.org/Home/Sign-In?returnurl=%2fEvents%2fRegistration%3fMeetingId%3d0ddb9189-4975-eb11-a812-000d3a1e616d"</f>
        <v>0</v>
      </c>
      <c r="M115" s="100"/>
      <c r="N115" s="116"/>
      <c r="O115" s="106" t="s">
        <v>384</v>
      </c>
      <c r="P115" s="92">
        <f>"https://my.ibtta.org/Home"</f>
        <v>0</v>
      </c>
      <c r="Q115" s="107" t="s">
        <v>64</v>
      </c>
      <c r="R115" s="108" t="s">
        <v>65</v>
      </c>
      <c r="S115" s="87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</row>
    <row r="116" spans="1:64" s="50" customFormat="1" ht="38.25" customHeight="1">
      <c r="A116" s="227" t="s">
        <v>385</v>
      </c>
      <c r="B116" s="228" t="s">
        <v>386</v>
      </c>
      <c r="C116" s="229">
        <f>"https://icmim-ieee.org/index.html"</f>
        <v>0</v>
      </c>
      <c r="D116" s="230" t="s">
        <v>387</v>
      </c>
      <c r="E116" s="178" t="s">
        <v>388</v>
      </c>
      <c r="F116" s="230" t="s">
        <v>389</v>
      </c>
      <c r="G116" s="231">
        <f>"&amp;hellip; covers all key enabling technologies for intelligent mobility, &amp;hellip;"</f>
        <v>0</v>
      </c>
      <c r="H116" s="163" t="s">
        <v>390</v>
      </c>
      <c r="I116" s="232" t="s">
        <v>391</v>
      </c>
      <c r="J116" s="230"/>
      <c r="K116" s="233">
        <f>"https://icmim-ieee.org/contact-us.html"</f>
        <v>0</v>
      </c>
      <c r="L116" s="234">
        <f>"https://icmim-ieee.org/author-information/paper-submission.html"</f>
        <v>0</v>
      </c>
      <c r="M116" s="235" t="s">
        <v>392</v>
      </c>
      <c r="N116" s="236" t="s">
        <v>393</v>
      </c>
      <c r="O116" s="232" t="s">
        <v>394</v>
      </c>
      <c r="P116" s="230" t="s">
        <v>395</v>
      </c>
      <c r="Q116" s="233" t="s">
        <v>64</v>
      </c>
      <c r="R116" s="237" t="s">
        <v>65</v>
      </c>
      <c r="S116" s="87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</row>
    <row r="117" spans="1:64" s="50" customFormat="1" ht="78" customHeight="1">
      <c r="A117" s="227"/>
      <c r="B117" s="238" t="s">
        <v>396</v>
      </c>
      <c r="C117" s="229"/>
      <c r="D117" s="230"/>
      <c r="E117" s="178"/>
      <c r="F117" s="230"/>
      <c r="G117" s="231"/>
      <c r="H117" s="163"/>
      <c r="I117" s="232"/>
      <c r="J117" s="230"/>
      <c r="K117" s="233"/>
      <c r="L117" s="234">
        <f>"Technical Areas:  https://icmim-ieee.org/author-information/technical-areas.html"</f>
        <v>0</v>
      </c>
      <c r="M117" s="235">
        <f>"Author information:  https://icmim-ieee.org/author-information.html"</f>
        <v>0</v>
      </c>
      <c r="N117" s="236"/>
      <c r="O117" s="232" t="s">
        <v>397</v>
      </c>
      <c r="P117" s="230">
        <f>"https://www.mtt.org/"</f>
        <v>0</v>
      </c>
      <c r="Q117" s="233"/>
      <c r="R117" s="237"/>
      <c r="S117" s="87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</row>
    <row r="118" spans="1:19" s="88" customFormat="1" ht="51.75" customHeight="1">
      <c r="A118" s="125" t="s">
        <v>398</v>
      </c>
      <c r="B118" s="126" t="s">
        <v>399</v>
      </c>
      <c r="C118" s="127">
        <f>"https://icmim-ieee.org/workshops.html"</f>
        <v>0</v>
      </c>
      <c r="D118" s="230"/>
      <c r="E118" s="93" t="s">
        <v>400</v>
      </c>
      <c r="F118" s="128" t="s">
        <v>401</v>
      </c>
      <c r="G118" s="130">
        <f>"&amp;hellip; the miniaturization of wireless systems, the increase in radar resolution and the realization of high speed transmission systems."</f>
        <v>0</v>
      </c>
      <c r="H118" s="131">
        <f>"Technical Details:  https://icmim-ieee.org/program/workshops.html"</f>
        <v>0</v>
      </c>
      <c r="I118" s="232" t="s">
        <v>402</v>
      </c>
      <c r="J118" s="230"/>
      <c r="K118" s="233"/>
      <c r="L118" s="164"/>
      <c r="M118" s="151"/>
      <c r="N118" s="152"/>
      <c r="O118" s="232"/>
      <c r="P118" s="230"/>
      <c r="Q118" s="233"/>
      <c r="R118" s="237"/>
      <c r="S118" s="87"/>
    </row>
    <row r="119" spans="1:19" s="88" customFormat="1" ht="51.75" customHeight="1">
      <c r="A119" s="89">
        <f>"Intertraffic ON AIR, Ep. 1:  Intelligent Infrastructure"</f>
        <v>0</v>
      </c>
      <c r="B119" s="239" t="s">
        <v>403</v>
      </c>
      <c r="C119" s="103">
        <f>"https://www.intertraffic.com/on-air/?actioncode=ITD1010&amp;utm_term=ITD1010"</f>
        <v>0</v>
      </c>
      <c r="D119" s="115"/>
      <c r="E119" s="93" t="s">
        <v>404</v>
      </c>
      <c r="F119" s="92" t="s">
        <v>405</v>
      </c>
      <c r="G119" s="94">
        <f>"&amp;hellip; innovations in road construction and maintenance, smart and sustainable materials, smart roadside technologies and data solutions."</f>
        <v>0</v>
      </c>
      <c r="H119" s="104"/>
      <c r="I119" s="114"/>
      <c r="J119" s="115"/>
      <c r="K119" s="117">
        <f>"mailto:intertraffic@rai.nl"</f>
        <v>0</v>
      </c>
      <c r="L119" s="113">
        <f>"Registration:  https://registration.gesevent.com/survey/2pcfeuf2juykq"</f>
        <v>0</v>
      </c>
      <c r="M119" s="100"/>
      <c r="N119" s="116"/>
      <c r="O119" s="106" t="s">
        <v>288</v>
      </c>
      <c r="P119" s="92" t="s">
        <v>289</v>
      </c>
      <c r="Q119" s="107" t="s">
        <v>64</v>
      </c>
      <c r="R119" s="108" t="s">
        <v>65</v>
      </c>
      <c r="S119" s="87"/>
    </row>
    <row r="120" spans="1:19" s="88" customFormat="1" ht="51.75" customHeight="1">
      <c r="A120" s="89">
        <f>"Intertraffic ON AIR, Ep. 2:  Smart Traffic Control"</f>
        <v>0</v>
      </c>
      <c r="B120" s="239" t="s">
        <v>406</v>
      </c>
      <c r="C120" s="103"/>
      <c r="D120" s="115"/>
      <c r="E120" s="93"/>
      <c r="F120" s="92" t="s">
        <v>407</v>
      </c>
      <c r="G120" s="94">
        <f>"&amp;hellip; data collection, innovative traffic detectors, AI applications and advanced technologies for incident detection."</f>
        <v>0</v>
      </c>
      <c r="H120" s="104"/>
      <c r="I120" s="114"/>
      <c r="J120" s="115"/>
      <c r="K120" s="117"/>
      <c r="L120" s="113"/>
      <c r="M120" s="100"/>
      <c r="N120" s="116"/>
      <c r="O120" s="106"/>
      <c r="P120" s="92"/>
      <c r="Q120" s="107"/>
      <c r="R120" s="108"/>
      <c r="S120" s="87"/>
    </row>
    <row r="121" spans="1:19" s="88" customFormat="1" ht="89.25" customHeight="1">
      <c r="A121" s="89" t="s">
        <v>408</v>
      </c>
      <c r="B121" s="239" t="s">
        <v>409</v>
      </c>
      <c r="C121" s="103">
        <f>"https://connectedautomateddriving.eu/mediaroom/eucad-2021-3rd-european-conference-on-connected-and-automated-driving-registration-now-open/"</f>
        <v>0</v>
      </c>
      <c r="D121" s="115"/>
      <c r="E121" s="93" t="s">
        <v>410</v>
      </c>
      <c r="F121" s="92" t="s">
        <v>411</v>
      </c>
      <c r="G121" s="94">
        <f>"&amp;hellip; high-level and evidence-based conference where policy challenges meet innovative solutions to deliver on societal benefits."</f>
        <v>0</v>
      </c>
      <c r="H121" s="104"/>
      <c r="I121" s="114"/>
      <c r="J121" s="115"/>
      <c r="K121" s="117"/>
      <c r="L121" s="113">
        <f>"Registration:  https://eucad2021-conference.eu/signup"</f>
        <v>0</v>
      </c>
      <c r="M121" s="100"/>
      <c r="N121" s="116"/>
      <c r="O121" s="106"/>
      <c r="P121" s="92"/>
      <c r="Q121" s="107" t="s">
        <v>64</v>
      </c>
      <c r="R121" s="108" t="s">
        <v>65</v>
      </c>
      <c r="S121" s="87"/>
    </row>
    <row r="122" spans="1:19" s="88" customFormat="1" ht="24.75" customHeight="1">
      <c r="A122" s="89">
        <f>"Electric Truck Bootcamp, a 10-part educational series on electric trucks"</f>
        <v>0</v>
      </c>
      <c r="B122" s="90" t="s">
        <v>412</v>
      </c>
      <c r="C122" s="103">
        <f>"https://www.act-news.com/news/electric-truck-webinar-series-to-electrify-nacfes-ongoing-freight-efficiency-demo/"</f>
        <v>0</v>
      </c>
      <c r="D122" s="115"/>
      <c r="E122" s="93" t="s">
        <v>413</v>
      </c>
      <c r="F122" s="92" t="s">
        <v>414</v>
      </c>
      <c r="G122" s="94">
        <f>"&amp;hellip; the electric truck ecosystem &amp;mdash; key opportunities and challenges as they plan for future deployments of electric vehicles."</f>
        <v>0</v>
      </c>
      <c r="H122" s="104"/>
      <c r="I122" s="240" t="s">
        <v>404</v>
      </c>
      <c r="J122" s="116">
        <f>"&amp;#10112; What&amp;rsquo;s Driving Electric Trucks?"</f>
        <v>0</v>
      </c>
      <c r="K122" s="116"/>
      <c r="L122" s="241">
        <f>"registration:  https://subscribe.act-news.com/NACFE-RoL-E-2021"</f>
        <v>0</v>
      </c>
      <c r="M122" s="241">
        <f>"Run on Less:  https://runonless.com/"</f>
        <v>0</v>
      </c>
      <c r="N122" s="242"/>
      <c r="O122" s="106" t="s">
        <v>415</v>
      </c>
      <c r="P122" s="92">
        <f>"https://www.ACT-News.com/webinars/"</f>
        <v>0</v>
      </c>
      <c r="Q122" s="107" t="s">
        <v>64</v>
      </c>
      <c r="R122" s="108" t="s">
        <v>65</v>
      </c>
      <c r="S122" s="87"/>
    </row>
    <row r="123" spans="1:19" s="88" customFormat="1" ht="27.75" customHeight="1">
      <c r="A123" s="89"/>
      <c r="B123" s="90"/>
      <c r="C123" s="103"/>
      <c r="D123" s="115"/>
      <c r="E123" s="93"/>
      <c r="F123" s="92"/>
      <c r="G123" s="94"/>
      <c r="H123" s="104"/>
      <c r="I123" s="240" t="s">
        <v>416</v>
      </c>
      <c r="J123" s="116">
        <f>"&amp;#10113; Charging 101 &amp;ndash; Planning &amp; Buildout"</f>
        <v>0</v>
      </c>
      <c r="K123" s="116"/>
      <c r="L123" s="241"/>
      <c r="M123" s="241"/>
      <c r="N123" s="242"/>
      <c r="O123" s="106"/>
      <c r="P123" s="92"/>
      <c r="Q123" s="107"/>
      <c r="R123" s="108"/>
      <c r="S123" s="87"/>
    </row>
    <row r="124" spans="1:19" s="88" customFormat="1" ht="27.75" customHeight="1">
      <c r="A124" s="89"/>
      <c r="B124" s="90"/>
      <c r="C124" s="103"/>
      <c r="D124" s="115"/>
      <c r="E124" s="93"/>
      <c r="F124" s="92"/>
      <c r="G124" s="94"/>
      <c r="H124" s="104"/>
      <c r="I124" s="240" t="s">
        <v>417</v>
      </c>
      <c r="J124" s="116">
        <f>"&amp;#10114; Charging 201 &amp;ndash; Power Management &amp; Resilience"</f>
        <v>0</v>
      </c>
      <c r="K124" s="116"/>
      <c r="L124" s="241"/>
      <c r="M124" s="241"/>
      <c r="N124" s="242"/>
      <c r="O124" s="106"/>
      <c r="P124" s="92"/>
      <c r="Q124" s="107"/>
      <c r="R124" s="108"/>
      <c r="S124" s="87"/>
    </row>
    <row r="125" spans="1:19" s="88" customFormat="1" ht="19.5" customHeight="1">
      <c r="A125" s="89"/>
      <c r="B125" s="90"/>
      <c r="C125" s="103"/>
      <c r="D125" s="115"/>
      <c r="E125" s="93"/>
      <c r="F125" s="92"/>
      <c r="G125" s="94"/>
      <c r="H125" s="104"/>
      <c r="I125" s="240" t="s">
        <v>418</v>
      </c>
      <c r="J125" s="116">
        <f>"&amp;#10115; Working with Your Utility"</f>
        <v>0</v>
      </c>
      <c r="K125" s="116"/>
      <c r="L125" s="241"/>
      <c r="M125" s="241"/>
      <c r="N125" s="242"/>
      <c r="O125" s="106"/>
      <c r="P125" s="92"/>
      <c r="Q125" s="107"/>
      <c r="R125" s="108"/>
      <c r="S125" s="87"/>
    </row>
    <row r="126" spans="1:19" s="88" customFormat="1" ht="19.5" customHeight="1">
      <c r="A126" s="89"/>
      <c r="B126" s="90"/>
      <c r="C126" s="103"/>
      <c r="D126" s="115"/>
      <c r="E126" s="93"/>
      <c r="F126" s="92"/>
      <c r="G126" s="94"/>
      <c r="H126" s="104"/>
      <c r="I126" s="240" t="s">
        <v>419</v>
      </c>
      <c r="J126" s="116">
        <f>"&amp;#10116; Incentives for Electrification"</f>
        <v>0</v>
      </c>
      <c r="K126" s="116"/>
      <c r="L126" s="241"/>
      <c r="M126" s="241"/>
      <c r="N126" s="242"/>
      <c r="O126" s="106"/>
      <c r="P126" s="92"/>
      <c r="Q126" s="107"/>
      <c r="R126" s="108"/>
      <c r="S126" s="87"/>
    </row>
    <row r="127" spans="1:19" s="88" customFormat="1" ht="19.5" customHeight="1">
      <c r="A127" s="89"/>
      <c r="B127" s="90"/>
      <c r="C127" s="103"/>
      <c r="D127" s="115"/>
      <c r="E127" s="93"/>
      <c r="F127" s="92"/>
      <c r="G127" s="94"/>
      <c r="H127" s="104"/>
      <c r="I127" s="240" t="s">
        <v>420</v>
      </c>
      <c r="J127" s="116">
        <f>"&amp;#10117; Maintenance, Training, &amp; Safety"</f>
        <v>0</v>
      </c>
      <c r="K127" s="116"/>
      <c r="L127" s="241"/>
      <c r="M127" s="241"/>
      <c r="N127" s="242"/>
      <c r="O127" s="106"/>
      <c r="P127" s="92"/>
      <c r="Q127" s="107"/>
      <c r="R127" s="108"/>
      <c r="S127" s="87"/>
    </row>
    <row r="128" spans="1:19" s="88" customFormat="1" ht="26.25" customHeight="1">
      <c r="A128" s="89"/>
      <c r="B128" s="90"/>
      <c r="C128" s="103"/>
      <c r="D128" s="115"/>
      <c r="E128" s="93"/>
      <c r="F128" s="92"/>
      <c r="G128" s="94"/>
      <c r="H128" s="104"/>
      <c r="I128" s="240" t="s">
        <v>421</v>
      </c>
      <c r="J128" s="116">
        <f>"&amp;#10118; Financing the Transition &amp; Innovative Business Models"</f>
        <v>0</v>
      </c>
      <c r="K128" s="116"/>
      <c r="L128" s="241"/>
      <c r="M128" s="241"/>
      <c r="N128" s="242"/>
      <c r="O128" s="106"/>
      <c r="P128" s="92"/>
      <c r="Q128" s="107"/>
      <c r="R128" s="108"/>
      <c r="S128" s="87"/>
    </row>
    <row r="129" spans="1:19" s="88" customFormat="1" ht="27" customHeight="1">
      <c r="A129" s="89"/>
      <c r="B129" s="90"/>
      <c r="C129" s="103"/>
      <c r="D129" s="115"/>
      <c r="E129" s="93"/>
      <c r="F129" s="92"/>
      <c r="G129" s="94"/>
      <c r="H129" s="104"/>
      <c r="I129" s="240" t="s">
        <v>422</v>
      </c>
      <c r="J129" s="116">
        <f>"&amp;#10119; Sustainable Supply Chains &amp; End of Life"</f>
        <v>0</v>
      </c>
      <c r="K129" s="116"/>
      <c r="L129" s="241"/>
      <c r="M129" s="241"/>
      <c r="N129" s="242"/>
      <c r="O129" s="106"/>
      <c r="P129" s="92"/>
      <c r="Q129" s="107"/>
      <c r="R129" s="108"/>
      <c r="S129" s="87"/>
    </row>
    <row r="130" spans="1:19" s="88" customFormat="1" ht="19.5" customHeight="1">
      <c r="A130" s="89"/>
      <c r="B130" s="90"/>
      <c r="C130" s="103"/>
      <c r="D130" s="115"/>
      <c r="E130" s="93"/>
      <c r="F130" s="92"/>
      <c r="G130" s="94"/>
      <c r="H130" s="104"/>
      <c r="I130" s="240" t="s">
        <v>423</v>
      </c>
      <c r="J130" s="116">
        <f>"&amp;#10120; global perspectives"</f>
        <v>0</v>
      </c>
      <c r="K130" s="116"/>
      <c r="L130" s="241"/>
      <c r="M130" s="241"/>
      <c r="N130" s="242"/>
      <c r="O130" s="106"/>
      <c r="P130" s="92"/>
      <c r="Q130" s="107"/>
      <c r="R130" s="108"/>
      <c r="S130" s="87"/>
    </row>
    <row r="131" spans="1:19" s="88" customFormat="1" ht="19.5" customHeight="1">
      <c r="A131" s="89"/>
      <c r="B131" s="90"/>
      <c r="C131" s="103"/>
      <c r="D131" s="115"/>
      <c r="E131" s="93"/>
      <c r="F131" s="92"/>
      <c r="G131" s="94"/>
      <c r="H131" s="104"/>
      <c r="I131" s="240" t="s">
        <v>424</v>
      </c>
      <c r="J131" s="116">
        <f>"&amp;#10121; Drivers and Electric Trucks"</f>
        <v>0</v>
      </c>
      <c r="K131" s="116"/>
      <c r="L131" s="241"/>
      <c r="M131" s="241"/>
      <c r="N131" s="242"/>
      <c r="O131" s="106"/>
      <c r="P131" s="92"/>
      <c r="Q131" s="107"/>
      <c r="R131" s="108"/>
      <c r="S131" s="87"/>
    </row>
    <row r="132" spans="1:64" s="102" customFormat="1" ht="91.5" customHeight="1">
      <c r="A132" s="89" t="s">
        <v>425</v>
      </c>
      <c r="B132" s="92" t="s">
        <v>426</v>
      </c>
      <c r="C132" s="92">
        <f>"https://nordicevs.no/"</f>
        <v>0</v>
      </c>
      <c r="D132" s="92" t="s">
        <v>427</v>
      </c>
      <c r="E132" s="93" t="s">
        <v>428</v>
      </c>
      <c r="F132" s="92" t="s">
        <v>429</v>
      </c>
      <c r="G132" s="119" t="s">
        <v>430</v>
      </c>
      <c r="H132" s="213"/>
      <c r="I132" s="96"/>
      <c r="J132" s="97"/>
      <c r="K132" s="98">
        <f>"https://nordicevs.no/#contact"</f>
        <v>0</v>
      </c>
      <c r="L132" s="113">
        <f>"Apply to become a Speaker:  https://nordicevs.no/become-a-speaker/"</f>
        <v>0</v>
      </c>
      <c r="M132" s="100"/>
      <c r="N132" s="116"/>
      <c r="O132" s="106" t="s">
        <v>431</v>
      </c>
      <c r="P132" s="92" t="s">
        <v>432</v>
      </c>
      <c r="Q132" s="107" t="s">
        <v>64</v>
      </c>
      <c r="R132" s="208" t="s">
        <v>65</v>
      </c>
      <c r="S132" s="87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</row>
    <row r="133" spans="1:64" ht="90.75" customHeight="1">
      <c r="A133" s="89" t="s">
        <v>433</v>
      </c>
      <c r="B133" s="90" t="s">
        <v>434</v>
      </c>
      <c r="C133" s="103">
        <f>"https://svem.ebems.com/"</f>
        <v>0</v>
      </c>
      <c r="D133" s="92" t="s">
        <v>435</v>
      </c>
      <c r="E133" s="93" t="s">
        <v>436</v>
      </c>
      <c r="F133" s="92" t="s">
        <v>437</v>
      </c>
      <c r="G133" s="94" t="s">
        <v>438</v>
      </c>
      <c r="H133" s="213"/>
      <c r="I133" s="96"/>
      <c r="J133" s="97"/>
      <c r="K133" s="98">
        <f>"https://svem.ebems.com/contact-en.html"</f>
        <v>0</v>
      </c>
      <c r="L133" s="158">
        <f>"Exhibitors &amp;ndash; Reserve your booth:  https://svem.ebems.com/reserve/reserve-your-booth.html"</f>
        <v>0</v>
      </c>
      <c r="M133" s="159"/>
      <c r="N133" s="200"/>
      <c r="O133" s="106" t="s">
        <v>298</v>
      </c>
      <c r="P133" s="92">
        <f>"https://emc-mec.ca/event/"</f>
        <v>0</v>
      </c>
      <c r="Q133" s="107" t="s">
        <v>439</v>
      </c>
      <c r="R133" s="118" t="s">
        <v>54</v>
      </c>
      <c r="S133" s="87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</row>
    <row r="134" spans="1:64" ht="48.75" customHeight="1">
      <c r="A134" s="89" t="s">
        <v>440</v>
      </c>
      <c r="B134" s="92" t="s">
        <v>441</v>
      </c>
      <c r="C134" s="92">
        <f>"https://events.vtsociety.org/vtc2021-spring/"</f>
        <v>0</v>
      </c>
      <c r="D134" s="92" t="s">
        <v>442</v>
      </c>
      <c r="E134" s="93" t="s">
        <v>443</v>
      </c>
      <c r="F134" s="92" t="s">
        <v>444</v>
      </c>
      <c r="G134" s="94" t="s">
        <v>445</v>
      </c>
      <c r="H134" s="104"/>
      <c r="I134" s="123"/>
      <c r="J134" s="97"/>
      <c r="K134" s="124">
        <f>"Contact form:  https://events.vtsociety.org/vtc2021-spring/contact-us/"</f>
        <v>0</v>
      </c>
      <c r="L134" s="201">
        <f>"https://vtc2021spring.trackchair.com/"</f>
        <v>0</v>
      </c>
      <c r="M134" s="154">
        <f>"https://vtc2020spring.trackchair.com/"</f>
        <v>0</v>
      </c>
      <c r="N134" s="92" t="s">
        <v>446</v>
      </c>
      <c r="O134" s="110" t="s">
        <v>447</v>
      </c>
      <c r="P134" s="92" t="s">
        <v>448</v>
      </c>
      <c r="Q134" s="156" t="s">
        <v>64</v>
      </c>
      <c r="R134" s="243" t="s">
        <v>65</v>
      </c>
      <c r="S134" s="87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</row>
    <row r="135" spans="1:64" s="102" customFormat="1" ht="64.5" customHeight="1">
      <c r="A135" s="89"/>
      <c r="B135" s="92"/>
      <c r="C135" s="92"/>
      <c r="D135" s="92"/>
      <c r="E135" s="93"/>
      <c r="F135" s="92"/>
      <c r="G135" s="94"/>
      <c r="H135" s="104"/>
      <c r="I135" s="123"/>
      <c r="J135" s="97"/>
      <c r="K135" s="124"/>
      <c r="L135" s="106">
        <f>"Workshop Proposals:  https://events.vtsociety.org/vtc2021-spring/conference-sessions/call-for-workshops/"</f>
        <v>0</v>
      </c>
      <c r="M135" s="92">
        <f>"https://events.vtsociety.org/vtc2021-spring/conference-sessions/workshop-proposal-form/"</f>
        <v>0</v>
      </c>
      <c r="N135" s="92">
        <f>"Workshop Proposals due:  2020/10/12 (extended from 09/21, 09/07)"</f>
        <v>0</v>
      </c>
      <c r="O135" s="110"/>
      <c r="P135" s="92"/>
      <c r="Q135" s="156"/>
      <c r="R135" s="243"/>
      <c r="S135" s="87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</row>
    <row r="136" spans="1:64" s="102" customFormat="1" ht="82.5" customHeight="1">
      <c r="A136" s="89"/>
      <c r="B136" s="92"/>
      <c r="C136" s="92"/>
      <c r="D136" s="92"/>
      <c r="E136" s="93"/>
      <c r="F136" s="92"/>
      <c r="G136" s="94"/>
      <c r="H136" s="104"/>
      <c r="I136" s="123"/>
      <c r="J136" s="97"/>
      <c r="K136" s="124"/>
      <c r="L136" s="106">
        <f>"Workshop Papers:  https://events.vtsociety.org/vtc2021-spring/conference-sessions/call-for-workshops/"</f>
        <v>0</v>
      </c>
      <c r="M136" s="92">
        <f>"https://vtc2021s-rr-wks.trackchair.com/"</f>
        <v>0</v>
      </c>
      <c r="N136" s="92">
        <f>"5-page paper due: 2021/01/10 (1-2 extra pages with add&amp;rsquo;l $100/page fee)"</f>
        <v>0</v>
      </c>
      <c r="O136" s="110"/>
      <c r="P136" s="92"/>
      <c r="Q136" s="156"/>
      <c r="R136" s="243"/>
      <c r="S136" s="87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</row>
    <row r="137" spans="1:64" s="102" customFormat="1" ht="36.75" customHeight="1">
      <c r="A137" s="89"/>
      <c r="B137" s="92"/>
      <c r="C137" s="92"/>
      <c r="D137" s="92"/>
      <c r="E137" s="93"/>
      <c r="F137" s="92"/>
      <c r="G137" s="94"/>
      <c r="H137" s="104"/>
      <c r="I137" s="123"/>
      <c r="J137" s="97"/>
      <c r="K137" s="124"/>
      <c r="L137" s="201">
        <f>"tutorials:  https://events.vtsociety.org/vtc2021-spring/conference-sessions/call-for-tutorials/"</f>
        <v>0</v>
      </c>
      <c r="M137" s="92">
        <f>"https://events.vtsociety.org/vtc2021-spring/conference-sessions/call-for-tutorials/tutorial-proposal-submission-form/"</f>
        <v>0</v>
      </c>
      <c r="N137" s="92">
        <f>"2020/10/21"</f>
        <v>0</v>
      </c>
      <c r="O137" s="110"/>
      <c r="P137" s="92"/>
      <c r="Q137" s="156"/>
      <c r="R137" s="243"/>
      <c r="S137" s="87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</row>
    <row r="138" spans="1:64" ht="36.75" customHeight="1">
      <c r="A138" s="89"/>
      <c r="B138" s="92"/>
      <c r="C138" s="92"/>
      <c r="D138" s="92"/>
      <c r="E138" s="93"/>
      <c r="F138" s="92"/>
      <c r="G138" s="94"/>
      <c r="H138" s="104"/>
      <c r="I138" s="123"/>
      <c r="J138" s="97"/>
      <c r="K138" s="124"/>
      <c r="L138" s="201"/>
      <c r="M138" s="92"/>
      <c r="N138" s="154">
        <f>"Request for full proposal notification:  2019/11/05"</f>
        <v>0</v>
      </c>
      <c r="O138" s="110"/>
      <c r="P138" s="92"/>
      <c r="Q138" s="156"/>
      <c r="R138" s="243"/>
      <c r="S138" s="87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</row>
    <row r="139" spans="1:64" s="102" customFormat="1" ht="60" customHeight="1">
      <c r="A139" s="89"/>
      <c r="B139" s="92"/>
      <c r="C139" s="92"/>
      <c r="D139" s="92"/>
      <c r="E139" s="93"/>
      <c r="F139" s="92"/>
      <c r="G139" s="94"/>
      <c r="H139" s="104"/>
      <c r="I139" s="123"/>
      <c r="J139" s="97"/>
      <c r="K139" s="124"/>
      <c r="L139" s="201">
        <f>"Recent Results (oral or poster presentation accompanied by a paper in the proceedings, or a demo accompanied by a short paper): https://events.vtsociety.org/vtc2021-spring/authors/call-for-papers/"</f>
        <v>0</v>
      </c>
      <c r="M139" s="92">
        <f>"https://vtc2021s-rr-wks.trackchair.com/"</f>
        <v>0</v>
      </c>
      <c r="N139" s="92">
        <f>"Two-page abstract due 2021/01/10"</f>
        <v>0</v>
      </c>
      <c r="O139" s="110"/>
      <c r="P139" s="92"/>
      <c r="Q139" s="156"/>
      <c r="R139" s="243"/>
      <c r="S139" s="87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</row>
    <row r="140" spans="1:64" ht="54.75" customHeight="1">
      <c r="A140" s="89"/>
      <c r="B140" s="92"/>
      <c r="C140" s="92"/>
      <c r="D140" s="92"/>
      <c r="E140" s="92"/>
      <c r="F140" s="92"/>
      <c r="G140" s="94"/>
      <c r="H140" s="104"/>
      <c r="I140" s="123"/>
      <c r="J140" s="97"/>
      <c r="K140" s="124"/>
      <c r="L140" s="244">
        <f>"IEEE VTS Student Travel Grant (Undergrad or Grad, must present paper, maximum $1000):  https://vtc2020s-rr-wks.trackchair.com/track/1891"</f>
        <v>0</v>
      </c>
      <c r="M140" s="154">
        <f>"https://vtc2020s-rr-wks.trackchair.com/track/1891/submit"</f>
        <v>0</v>
      </c>
      <c r="N140" s="154" t="s">
        <v>449</v>
      </c>
      <c r="O140" s="110"/>
      <c r="P140" s="92"/>
      <c r="Q140" s="156"/>
      <c r="R140" s="243"/>
      <c r="S140" s="87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</row>
    <row r="141" spans="1:64" ht="82.5" customHeight="1">
      <c r="A141" s="125" t="s">
        <v>450</v>
      </c>
      <c r="B141" s="128" t="s">
        <v>451</v>
      </c>
      <c r="C141" s="128">
        <f>"https://tmt.knect365.com/connected-vehicles/"</f>
        <v>0</v>
      </c>
      <c r="D141" s="128" t="s">
        <v>138</v>
      </c>
      <c r="E141" s="93" t="s">
        <v>452</v>
      </c>
      <c r="F141" s="128" t="s">
        <v>453</v>
      </c>
      <c r="G141" s="191" t="s">
        <v>454</v>
      </c>
      <c r="H141" s="245">
        <f>"Sign up to indicate interest, and for updates:  https://get.knect365.com/connected-vehicles/2020-pre-registration/"</f>
        <v>0</v>
      </c>
      <c r="I141" s="149">
        <f>"Agenda:  https://tmt.knect365.com/connected-vehicles/agenda"</f>
        <v>0</v>
      </c>
      <c r="J141" s="133">
        <f>"Colocated with &amp;ldquo;Internet of Things World&amp;rdquo;:  https://tmt.knect365.com/iot-world/"</f>
        <v>0</v>
      </c>
      <c r="K141" s="193">
        <f>"https://tmt.knect365.com/connected-vehicles/contact"</f>
        <v>0</v>
      </c>
      <c r="L141" s="164">
        <f>"Speaking Opportunities  Lewis Powers"</f>
        <v>0</v>
      </c>
      <c r="M141" s="151">
        <f>"mailto:Lewis.Powers@informa.com                              T: +44 (20) 755 19020"</f>
        <v>0</v>
      </c>
      <c r="N141" s="236" t="s">
        <v>455</v>
      </c>
      <c r="O141" s="194" t="s">
        <v>456</v>
      </c>
      <c r="P141" s="128" t="s">
        <v>130</v>
      </c>
      <c r="Q141" s="195" t="s">
        <v>457</v>
      </c>
      <c r="R141" s="196" t="s">
        <v>65</v>
      </c>
      <c r="S141" s="87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</row>
    <row r="142" spans="1:64" ht="85.5" customHeight="1">
      <c r="A142" s="125"/>
      <c r="B142" s="128"/>
      <c r="C142" s="128"/>
      <c r="D142" s="128"/>
      <c r="E142" s="93"/>
      <c r="F142" s="128"/>
      <c r="G142" s="191"/>
      <c r="H142" s="245"/>
      <c r="I142" s="149">
        <f>"Brochure:  https://get.knect365.com/connected-vehicles/2020-event-brochure/"</f>
        <v>0</v>
      </c>
      <c r="J142" s="133"/>
      <c r="K142" s="193"/>
      <c r="L142" s="246">
        <f>"https://get.knect365.com/connected-vehicles/2020-speaking-proposal/"</f>
        <v>0</v>
      </c>
      <c r="M142" s="151">
        <f>"CoronaVirus info:  https://tmt.knect365.com/connected-vehicles/coronavirus-updates"</f>
        <v>0</v>
      </c>
      <c r="N142" s="236" t="s">
        <v>458</v>
      </c>
      <c r="O142" s="194"/>
      <c r="P142" s="128"/>
      <c r="Q142" s="195"/>
      <c r="R142" s="196"/>
      <c r="S142" s="87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</row>
    <row r="143" spans="1:64" ht="72" customHeight="1">
      <c r="A143" s="247" t="s">
        <v>459</v>
      </c>
      <c r="B143" s="173" t="s">
        <v>460</v>
      </c>
      <c r="C143" s="248">
        <f>"http://www.innotrans.de/en/"</f>
        <v>0</v>
      </c>
      <c r="D143" s="128" t="s">
        <v>461</v>
      </c>
      <c r="E143" s="93">
        <f>"2021/04/27-30 (postponed from 2020/09/22–25)"</f>
        <v>0</v>
      </c>
      <c r="F143" s="128" t="s">
        <v>462</v>
      </c>
      <c r="G143" s="165" t="s">
        <v>463</v>
      </c>
      <c r="H143" s="166" t="s">
        <v>464</v>
      </c>
      <c r="I143" s="120"/>
      <c r="J143" s="249"/>
      <c r="K143" s="250">
        <f>"https://www.innotrans.de/en/Extrapages/Contact/"</f>
        <v>0</v>
      </c>
      <c r="L143" s="251">
        <f>"Virtual Market:  https://www.virtualmarket.innotrans.de/en"</f>
        <v>0</v>
      </c>
      <c r="M143" s="170"/>
      <c r="N143" s="252"/>
      <c r="O143" s="172" t="s">
        <v>465</v>
      </c>
      <c r="P143" s="173">
        <f>"http://www.maglevboard.net/en/;   http://www.maglevboard.net/en/the-conferences"</f>
        <v>0</v>
      </c>
      <c r="Q143" s="174" t="s">
        <v>53</v>
      </c>
      <c r="R143" s="137" t="s">
        <v>65</v>
      </c>
      <c r="S143" s="87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</row>
    <row r="144" spans="1:64" s="102" customFormat="1" ht="61.5" customHeight="1">
      <c r="A144" s="89" t="s">
        <v>466</v>
      </c>
      <c r="B144" s="90" t="s">
        <v>467</v>
      </c>
      <c r="C144" s="103">
        <f>"https://www.sae.org/learn/content/c2006/"</f>
        <v>0</v>
      </c>
      <c r="D144" s="92" t="s">
        <v>468</v>
      </c>
      <c r="E144" s="93" t="s">
        <v>469</v>
      </c>
      <c r="F144" s="92" t="s">
        <v>470</v>
      </c>
      <c r="G144" s="94" t="s">
        <v>471</v>
      </c>
      <c r="H144" s="104" t="s">
        <v>472</v>
      </c>
      <c r="I144" s="96"/>
      <c r="J144" s="97"/>
      <c r="K144" s="98"/>
      <c r="L144" s="201" t="s">
        <v>473</v>
      </c>
      <c r="M144" s="111" t="s">
        <v>311</v>
      </c>
      <c r="N144" s="112"/>
      <c r="O144" s="106" t="s">
        <v>171</v>
      </c>
      <c r="P144" s="92">
        <f>"https://www.sae.org/learn/professional-development"</f>
        <v>0</v>
      </c>
      <c r="Q144" s="107" t="s">
        <v>64</v>
      </c>
      <c r="R144" s="108" t="s">
        <v>65</v>
      </c>
      <c r="S144" s="87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</row>
    <row r="145" spans="1:64" ht="78.75" customHeight="1">
      <c r="A145" s="125" t="s">
        <v>474</v>
      </c>
      <c r="B145" s="126" t="s">
        <v>475</v>
      </c>
      <c r="C145" s="127">
        <f>"https://sveq.ebems.com/home.html"</f>
        <v>0</v>
      </c>
      <c r="D145" s="128" t="s">
        <v>476</v>
      </c>
      <c r="E145" s="129" t="s">
        <v>477</v>
      </c>
      <c r="F145" s="128" t="s">
        <v>478</v>
      </c>
      <c r="G145" s="130" t="s">
        <v>438</v>
      </c>
      <c r="H145" s="131" t="s">
        <v>479</v>
      </c>
      <c r="I145" s="132"/>
      <c r="J145" s="133"/>
      <c r="K145" s="134">
        <f>"https://sveq.ebems.com/contact-en.html"</f>
        <v>0</v>
      </c>
      <c r="L145" s="150">
        <f>"Exhibitors&amp;rsquo; info:  https://sveq.ebems.com/exhibitors/general-informations.html"</f>
        <v>0</v>
      </c>
      <c r="M145" s="170"/>
      <c r="N145" s="171"/>
      <c r="O145" s="135" t="s">
        <v>298</v>
      </c>
      <c r="P145" s="128">
        <f>"https://emc-mec.ca/event/"</f>
        <v>0</v>
      </c>
      <c r="Q145" s="136" t="s">
        <v>439</v>
      </c>
      <c r="R145" s="253" t="s">
        <v>54</v>
      </c>
      <c r="S145" s="87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</row>
    <row r="146" spans="1:64" s="102" customFormat="1" ht="87.75" customHeight="1">
      <c r="A146" s="89">
        <f>"SAE CEU Course:  Robotics for Autonomous Vehicle Systems Bootcamp"</f>
        <v>0</v>
      </c>
      <c r="B146" s="90" t="s">
        <v>480</v>
      </c>
      <c r="C146" s="103">
        <f>"https://www.sae.org/learn/content/c2012/"</f>
        <v>0</v>
      </c>
      <c r="D146" s="92" t="s">
        <v>48</v>
      </c>
      <c r="E146" s="93" t="s">
        <v>481</v>
      </c>
      <c r="F146" s="92" t="s">
        <v>482</v>
      </c>
      <c r="G146" s="94">
        <f>"You&amp;rsquo;ll develop a deep, technical understanding of how to build autonomous systems by learning to program a mobile robot through hands-on approaches using ROS, Gazebo, and Python."</f>
        <v>0</v>
      </c>
      <c r="H146" s="104" t="s">
        <v>483</v>
      </c>
      <c r="I146" s="123"/>
      <c r="J146" s="97"/>
      <c r="K146" s="98"/>
      <c r="L146" s="158" t="s">
        <v>484</v>
      </c>
      <c r="M146" s="100" t="s">
        <v>485</v>
      </c>
      <c r="N146" s="116"/>
      <c r="O146" s="106" t="s">
        <v>171</v>
      </c>
      <c r="P146" s="92" t="s">
        <v>172</v>
      </c>
      <c r="Q146" s="107" t="s">
        <v>64</v>
      </c>
      <c r="R146" s="108" t="s">
        <v>65</v>
      </c>
      <c r="S146" s="87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</row>
    <row r="147" spans="1:64" ht="53.25" customHeight="1">
      <c r="A147" s="125" t="s">
        <v>486</v>
      </c>
      <c r="B147" s="126" t="s">
        <v>487</v>
      </c>
      <c r="C147" s="127">
        <f>"https://www.itsworldcongress2020.com/en-us/announcing-atlanta-2021.html"</f>
        <v>0</v>
      </c>
      <c r="D147" s="128" t="s">
        <v>488</v>
      </c>
      <c r="E147" s="129" t="s">
        <v>489</v>
      </c>
      <c r="F147" s="128" t="s">
        <v>490</v>
      </c>
      <c r="G147" s="130" t="s">
        <v>491</v>
      </c>
      <c r="H147" s="254"/>
      <c r="I147" s="132"/>
      <c r="J147" s="133"/>
      <c r="K147" s="134"/>
      <c r="L147" s="164"/>
      <c r="M147" s="151"/>
      <c r="N147" s="152"/>
      <c r="O147" s="135">
        <f>"Intelligent Transportation Systems Society of America"</f>
        <v>0</v>
      </c>
      <c r="P147" s="128">
        <f>"http://itsamerica.org/"</f>
        <v>0</v>
      </c>
      <c r="Q147" s="136" t="s">
        <v>64</v>
      </c>
      <c r="R147" s="137" t="s">
        <v>65</v>
      </c>
      <c r="S147" s="87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</row>
    <row r="148" spans="1:64" ht="51.75" customHeight="1">
      <c r="A148" s="125"/>
      <c r="B148" s="126"/>
      <c r="C148" s="127">
        <f>"Alt. Link:  https://itsa.org/event/its-america-2021-annual-meeting-atlanta/"</f>
        <v>0</v>
      </c>
      <c r="D148" s="128"/>
      <c r="E148" s="129">
        <f>"Exhibition:  2021/05/18 – 20"</f>
        <v>0</v>
      </c>
      <c r="F148" s="92" t="s">
        <v>492</v>
      </c>
      <c r="G148" s="130"/>
      <c r="H148" s="254"/>
      <c r="I148" s="132"/>
      <c r="J148" s="133"/>
      <c r="K148" s="134"/>
      <c r="L148" s="164"/>
      <c r="M148" s="151"/>
      <c r="N148" s="152"/>
      <c r="O148" s="135"/>
      <c r="P148" s="128"/>
      <c r="Q148" s="136"/>
      <c r="R148" s="137"/>
      <c r="S148" s="87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</row>
    <row r="149" spans="1:64" s="102" customFormat="1" ht="66.75" customHeight="1">
      <c r="A149" s="89" t="s">
        <v>493</v>
      </c>
      <c r="B149" s="90" t="s">
        <v>494</v>
      </c>
      <c r="C149" s="103">
        <f>"https://www.thebatteryshow.eu/en/digital-days/virtual-expo.html"</f>
        <v>0</v>
      </c>
      <c r="D149" s="92" t="s">
        <v>87</v>
      </c>
      <c r="E149" s="93" t="s">
        <v>495</v>
      </c>
      <c r="F149" s="92" t="s">
        <v>496</v>
      </c>
      <c r="G149" s="94">
        <f>"Get ready to connect with the advanced battery and H/EV tech community &amp;hellip;"</f>
        <v>0</v>
      </c>
      <c r="H149" s="255"/>
      <c r="I149" s="96"/>
      <c r="J149" s="97"/>
      <c r="K149" s="98"/>
      <c r="L149" s="113">
        <f>"Get your pass:  https://registration.gesevent.com/survey/3rj7kedjicowx"</f>
        <v>0</v>
      </c>
      <c r="M149" s="100">
        <f>"Details:  http://app.go05.informamarkets.com/e/es?s=326911971&amp;e=28823&amp;elqTrackId=A8B220648D5CB8AF59A466BF462625A7&amp;elq=1e24fcf225a042bfa524db3a0e866308&amp;elqaid=2216&amp;elqat=1"</f>
        <v>0</v>
      </c>
      <c r="N149" s="100"/>
      <c r="O149" s="106" t="s">
        <v>497</v>
      </c>
      <c r="P149" s="92" t="s">
        <v>498</v>
      </c>
      <c r="Q149" s="107" t="s">
        <v>53</v>
      </c>
      <c r="R149" s="108" t="s">
        <v>54</v>
      </c>
      <c r="S149" s="87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</row>
    <row r="150" spans="1:19" s="102" customFormat="1" ht="60.75" customHeight="1">
      <c r="A150" s="89" t="s">
        <v>499</v>
      </c>
      <c r="B150" s="90" t="s">
        <v>500</v>
      </c>
      <c r="C150" s="103">
        <f>"https://www.sae.org/learn/content/c1867/"</f>
        <v>0</v>
      </c>
      <c r="D150" s="92" t="s">
        <v>501</v>
      </c>
      <c r="E150" s="93" t="s">
        <v>502</v>
      </c>
      <c r="F150" s="92" t="s">
        <v>503</v>
      </c>
      <c r="G150" s="198" t="s">
        <v>504</v>
      </c>
      <c r="H150" s="95" t="s">
        <v>505</v>
      </c>
      <c r="I150" s="256"/>
      <c r="J150" s="257"/>
      <c r="K150" s="258"/>
      <c r="L150" s="158" t="s">
        <v>506</v>
      </c>
      <c r="M150" s="159" t="s">
        <v>311</v>
      </c>
      <c r="N150" s="200"/>
      <c r="O150" s="201" t="s">
        <v>171</v>
      </c>
      <c r="P150" s="111" t="s">
        <v>172</v>
      </c>
      <c r="Q150" s="112" t="s">
        <v>64</v>
      </c>
      <c r="R150" s="108" t="s">
        <v>65</v>
      </c>
      <c r="S150" s="140"/>
    </row>
    <row r="151" spans="1:64" ht="45.75" customHeight="1">
      <c r="A151" s="125" t="s">
        <v>507</v>
      </c>
      <c r="B151" s="126" t="s">
        <v>508</v>
      </c>
      <c r="C151" s="127">
        <f>"http://www.gtsummitexpo.socialenterprises.net/"</f>
        <v>0</v>
      </c>
      <c r="D151" s="128" t="s">
        <v>509</v>
      </c>
      <c r="E151" s="129" t="s">
        <v>510</v>
      </c>
      <c r="F151" s="128" t="s">
        <v>511</v>
      </c>
      <c r="G151" s="130" t="s">
        <v>512</v>
      </c>
      <c r="H151" s="131"/>
      <c r="I151" s="132"/>
      <c r="J151" s="133" t="s">
        <v>513</v>
      </c>
      <c r="K151" s="134">
        <f>"http://www.gtsummitexpo.socialenterprises.net/contact/"</f>
        <v>0</v>
      </c>
      <c r="L151" s="246">
        <f>"Call for Special Session and Speaker Proposals:  http://www.gtsummitexpo.socialenterprises.net/downloads/GTSE20_CFP.pdf"</f>
        <v>0</v>
      </c>
      <c r="M151" s="259"/>
      <c r="N151" s="236" t="s">
        <v>514</v>
      </c>
      <c r="O151" s="135" t="s">
        <v>515</v>
      </c>
      <c r="P151" s="128" t="s">
        <v>516</v>
      </c>
      <c r="Q151" s="136" t="s">
        <v>53</v>
      </c>
      <c r="R151" s="253" t="s">
        <v>54</v>
      </c>
      <c r="S151" s="140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</row>
    <row r="152" spans="1:64" ht="42.75" customHeight="1">
      <c r="A152" s="125"/>
      <c r="B152" s="126"/>
      <c r="C152" s="127"/>
      <c r="D152" s="128"/>
      <c r="E152" s="129"/>
      <c r="F152" s="129"/>
      <c r="G152" s="130"/>
      <c r="H152" s="131"/>
      <c r="I152" s="132"/>
      <c r="J152" s="133"/>
      <c r="K152" s="134">
        <f>"mailto:info@gtsummitexpo.socialenterprises.net"</f>
        <v>0</v>
      </c>
      <c r="L152" s="246"/>
      <c r="M152" s="259"/>
      <c r="N152" s="236"/>
      <c r="O152" s="135"/>
      <c r="P152" s="128"/>
      <c r="Q152" s="136"/>
      <c r="R152" s="253"/>
      <c r="S152" s="140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</row>
    <row r="153" spans="1:19" s="102" customFormat="1" ht="66" customHeight="1">
      <c r="A153" s="89" t="s">
        <v>517</v>
      </c>
      <c r="B153" s="90" t="s">
        <v>518</v>
      </c>
      <c r="C153" s="103">
        <f>"https://www.volpe.dot.gov/events/innovation-sustainable-equitable-transportation-system"</f>
        <v>0</v>
      </c>
      <c r="D153" s="92"/>
      <c r="E153" s="93" t="s">
        <v>519</v>
      </c>
      <c r="F153" s="92" t="s">
        <v>520</v>
      </c>
      <c r="G153" s="94">
        <f>"Greenhouse gas emissions from transportation account for about 28 percent of total U.S. greenhouse gas emissions."</f>
        <v>0</v>
      </c>
      <c r="H153" s="104">
        <f>"&lt;b&gt;Pete&amp;nbsp;Buttigieg&lt;/b&gt; US Sec&amp;rsquo;y of Transp."</f>
        <v>0</v>
      </c>
      <c r="I153" s="96" t="s">
        <v>178</v>
      </c>
      <c r="J153" s="97" t="s">
        <v>179</v>
      </c>
      <c r="K153" s="98" t="s">
        <v>180</v>
      </c>
      <c r="L153" s="113">
        <f>"Mandatory Registration:  https://volpe-events.webex.com/ec3300/eventcenter/enroll/join.do?confId=194322681554812308&amp;theAction=detail&amp;path=program_detail&amp;siteurl=volpe-events&amp;confViewID=194322681554812308&amp;internalProgramTicketUnList=4832534b000000046308844"</f>
        <v>0</v>
      </c>
      <c r="M153" s="100"/>
      <c r="N153" s="116">
        <f>"Series link:  https://www.volpe.dot.gov/events/innovation-for-sustainable-equitable-transportation"</f>
        <v>0</v>
      </c>
      <c r="O153" s="106" t="s">
        <v>181</v>
      </c>
      <c r="P153" s="92" t="s">
        <v>521</v>
      </c>
      <c r="Q153" s="107" t="s">
        <v>182</v>
      </c>
      <c r="R153" s="118" t="s">
        <v>54</v>
      </c>
      <c r="S153" s="140"/>
    </row>
    <row r="154" spans="1:19" s="102" customFormat="1" ht="66" customHeight="1">
      <c r="A154" s="89"/>
      <c r="B154" s="90"/>
      <c r="C154" s="103"/>
      <c r="D154" s="92"/>
      <c r="E154" s="93"/>
      <c r="F154" s="92"/>
      <c r="G154" s="94"/>
      <c r="H154" s="104">
        <f>"welcome and introductory remarks:  &lt;b&gt;Robert&amp;nbsp;C.&amp;nbsp;Hampshire&lt;/b&gt;, PhD,  Princ. Dep. Ass&amp;rsquo;t Sec&amp;rsquo;y, Res. &amp; Techn."</f>
        <v>0</v>
      </c>
      <c r="I154" s="96"/>
      <c r="J154" s="97"/>
      <c r="K154" s="98"/>
      <c r="L154" s="113"/>
      <c r="M154" s="100"/>
      <c r="N154" s="116"/>
      <c r="O154" s="106"/>
      <c r="P154" s="92"/>
      <c r="Q154" s="107"/>
      <c r="R154" s="118"/>
      <c r="S154" s="140"/>
    </row>
    <row r="155" spans="1:64" ht="39.75" customHeight="1">
      <c r="A155" s="89">
        <f>"Course:&amp;nbsp;  Connected &amp; Automated Vehicles"</f>
        <v>0</v>
      </c>
      <c r="B155" s="90" t="s">
        <v>522</v>
      </c>
      <c r="C155" s="103">
        <f>"https://nexus.engin.umich.edu/professional-programs/connected-and-automated-vehicles/index.htm"</f>
        <v>0</v>
      </c>
      <c r="D155" s="92" t="s">
        <v>523</v>
      </c>
      <c r="E155" s="93" t="s">
        <v>524</v>
      </c>
      <c r="F155" s="92" t="s">
        <v>525</v>
      </c>
      <c r="G155" s="94">
        <f>"Learn at the global epicenter of connected vehicle research and development"</f>
        <v>0</v>
      </c>
      <c r="H155" s="104">
        <f>"&lt;b&gt;Henry&amp;nbsp;Liu&lt;/b&gt;,&amp;nbsp;PhD, Dir., USDOT MW Cen., Conn. &amp; Autom. Transp."</f>
        <v>0</v>
      </c>
      <c r="I155" s="96"/>
      <c r="J155" s="97"/>
      <c r="K155" s="98"/>
      <c r="L155" s="113">
        <f>"registration:  https://ihost3a.engin.umich.edu/iweb-open/register.htm?code=SELF&amp;type=NONCREDIT&amp;offeringids=3361&amp;programid=298"</f>
        <v>0</v>
      </c>
      <c r="M155" s="100">
        <f>"Fee:  $2630"</f>
        <v>0</v>
      </c>
      <c r="N155" s="116" t="s">
        <v>526</v>
      </c>
      <c r="O155" s="106"/>
      <c r="P155" s="92"/>
      <c r="Q155" s="107" t="s">
        <v>64</v>
      </c>
      <c r="R155" s="108" t="s">
        <v>65</v>
      </c>
      <c r="S155" s="140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</row>
    <row r="156" spans="1:64" ht="27.75" customHeight="1">
      <c r="A156" s="89"/>
      <c r="B156" s="90"/>
      <c r="C156" s="103"/>
      <c r="D156" s="92"/>
      <c r="E156" s="92"/>
      <c r="F156" s="92"/>
      <c r="G156" s="94"/>
      <c r="H156" s="104">
        <f>"&lt;b&gt;Huei&amp;nbsp;Peng&lt;/b&gt;,&amp;nbsp;PhD Dir., Mcity, U&amp;#8209;M Ofc. of Res."</f>
        <v>0</v>
      </c>
      <c r="I156" s="96"/>
      <c r="J156" s="97"/>
      <c r="K156" s="98"/>
      <c r="L156" s="113"/>
      <c r="M156" s="100"/>
      <c r="N156" s="116"/>
      <c r="O156" s="106"/>
      <c r="P156" s="92"/>
      <c r="Q156" s="107"/>
      <c r="R156" s="108"/>
      <c r="S156" s="140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</row>
    <row r="157" spans="1:64" ht="42" customHeight="1">
      <c r="A157" s="89"/>
      <c r="B157" s="90"/>
      <c r="C157" s="103"/>
      <c r="D157" s="92"/>
      <c r="E157" s="92"/>
      <c r="F157" s="92"/>
      <c r="G157" s="94"/>
      <c r="H157" s="104">
        <f>"&lt;b&gt;James&amp;nbsp;Sayer&lt;/b&gt;,&amp;nbsp;PhD, Dir., U&amp;#8209;M Transp. Res. Inst. (UMTRI), Coll. of Eng."</f>
        <v>0</v>
      </c>
      <c r="I157" s="96"/>
      <c r="J157" s="97"/>
      <c r="K157" s="98"/>
      <c r="L157" s="113"/>
      <c r="M157" s="100"/>
      <c r="N157" s="116"/>
      <c r="O157" s="106"/>
      <c r="P157" s="92"/>
      <c r="Q157" s="107"/>
      <c r="R157" s="108"/>
      <c r="S157" s="140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</row>
    <row r="158" spans="1:64" ht="39.75" customHeight="1">
      <c r="A158" s="89"/>
      <c r="B158" s="90"/>
      <c r="C158" s="103"/>
      <c r="D158" s="92"/>
      <c r="E158" s="92"/>
      <c r="F158" s="92"/>
      <c r="G158" s="94"/>
      <c r="H158" s="104">
        <f>"&lt;b&gt;Andre&amp;nbsp;Weimerskirch&lt;/b&gt;,&amp;nbsp;PhD, VP Cyber Sec., Lear&amp;nbsp;Corp."</f>
        <v>0</v>
      </c>
      <c r="I158" s="96"/>
      <c r="J158" s="97"/>
      <c r="K158" s="98"/>
      <c r="L158" s="113"/>
      <c r="M158" s="100"/>
      <c r="N158" s="116"/>
      <c r="O158" s="106"/>
      <c r="P158" s="92"/>
      <c r="Q158" s="107"/>
      <c r="R158" s="108"/>
      <c r="S158" s="140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</row>
    <row r="159" spans="1:64" ht="65.25" customHeight="1">
      <c r="A159" s="89" t="s">
        <v>527</v>
      </c>
      <c r="B159" s="92" t="s">
        <v>528</v>
      </c>
      <c r="C159" s="92">
        <f>"https://www.autonomousvehicletechnologyexpo.com/en/index.php"</f>
        <v>0</v>
      </c>
      <c r="D159" s="92" t="s">
        <v>529</v>
      </c>
      <c r="E159" s="93" t="s">
        <v>530</v>
      </c>
      <c r="F159" s="92" t="s">
        <v>531</v>
      </c>
      <c r="G159" s="119" t="s">
        <v>532</v>
      </c>
      <c r="H159" s="213"/>
      <c r="I159" s="123">
        <f>"Free Electronic-code Exhibition Pass:  https://www.autonomousvehicletechnologyexpo.com/en/register.php?f=ft"</f>
        <v>0</v>
      </c>
      <c r="J159" s="123"/>
      <c r="K159" s="124">
        <f>"Free Exhibition Pass by mail:  https://www.autonomousvehicletechnologyexpo.com/en/register.php"</f>
        <v>0</v>
      </c>
      <c r="L159" s="113"/>
      <c r="M159" s="100"/>
      <c r="N159" s="116"/>
      <c r="O159" s="114"/>
      <c r="P159" s="115"/>
      <c r="Q159" s="117" t="s">
        <v>53</v>
      </c>
      <c r="R159" s="185" t="s">
        <v>65</v>
      </c>
      <c r="S159" s="87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</row>
    <row r="160" spans="1:64" ht="27.75" customHeight="1">
      <c r="A160" s="89" t="s">
        <v>533</v>
      </c>
      <c r="B160" s="92"/>
      <c r="C160" s="92">
        <f>"https://www.autonomousvehicletechnologyexpo.com/en/conference.php"</f>
        <v>0</v>
      </c>
      <c r="D160" s="92"/>
      <c r="E160" s="93"/>
      <c r="F160" s="92"/>
      <c r="G160" s="119" t="s">
        <v>534</v>
      </c>
      <c r="H160" s="104" t="s">
        <v>535</v>
      </c>
      <c r="I160" s="260"/>
      <c r="J160" s="261"/>
      <c r="K160" s="262"/>
      <c r="L160" s="113">
        <f>"https://www.autonomousvehicletechnologyexpo.com/en/call-for-papers.php"</f>
        <v>0</v>
      </c>
      <c r="M160" s="100">
        <f>"https://www.autonomousvehicletechnologyexpo.com/en/submit-proposal.php"</f>
        <v>0</v>
      </c>
      <c r="N160" s="116"/>
      <c r="O160" s="114"/>
      <c r="P160" s="115"/>
      <c r="Q160" s="117" t="s">
        <v>536</v>
      </c>
      <c r="R160" s="263" t="s">
        <v>65</v>
      </c>
      <c r="S160" s="87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</row>
    <row r="161" spans="1:64" ht="27.75" customHeight="1">
      <c r="A161" s="89"/>
      <c r="B161" s="92"/>
      <c r="C161" s="92"/>
      <c r="D161" s="92"/>
      <c r="E161" s="93"/>
      <c r="F161" s="92"/>
      <c r="G161" s="119"/>
      <c r="H161" s="104" t="s">
        <v>537</v>
      </c>
      <c r="I161" s="260"/>
      <c r="J161" s="261"/>
      <c r="K161" s="262"/>
      <c r="L161" s="113"/>
      <c r="M161" s="100"/>
      <c r="N161" s="116"/>
      <c r="O161" s="114"/>
      <c r="P161" s="115"/>
      <c r="Q161" s="117"/>
      <c r="R161" s="263"/>
      <c r="S161" s="87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</row>
    <row r="162" spans="1:64" ht="66" customHeight="1">
      <c r="A162" s="89" t="s">
        <v>538</v>
      </c>
      <c r="B162" s="92"/>
      <c r="C162" s="92">
        <f>"https://www.testing-expo.com/europe/en/"</f>
        <v>0</v>
      </c>
      <c r="D162" s="92"/>
      <c r="E162" s="92"/>
      <c r="F162" s="92"/>
      <c r="G162" s="119">
        <f>"includes &amp;hellip; ADAS testing &amp;hellip; Occupant/pedestrian safety &amp;hellip; Data acquisition and signal analysis &amp;hellip; Telemetry systems &amp;hellip; Software test and development"</f>
        <v>0</v>
      </c>
      <c r="H162" s="104"/>
      <c r="I162" s="123">
        <f>"Free Electronic-code Testing-Exhibition Pass:  https://www.testing-expo.com/europe/en/register.php?f=ft"</f>
        <v>0</v>
      </c>
      <c r="J162" s="123"/>
      <c r="K162" s="124">
        <f>"Free Testing-Exhibition Pass by mail:  https://www.testing-expo.com/europe/en/register.php"</f>
        <v>0</v>
      </c>
      <c r="L162" s="113"/>
      <c r="M162" s="100"/>
      <c r="N162" s="264"/>
      <c r="O162" s="114"/>
      <c r="P162" s="115"/>
      <c r="Q162" s="117" t="s">
        <v>536</v>
      </c>
      <c r="R162" s="185" t="s">
        <v>65</v>
      </c>
      <c r="S162" s="87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</row>
    <row r="163" spans="1:64" s="102" customFormat="1" ht="88.5" customHeight="1">
      <c r="A163" s="89" t="s">
        <v>539</v>
      </c>
      <c r="B163" s="92" t="s">
        <v>540</v>
      </c>
      <c r="C163" s="92">
        <f>"https://www.volpe.dot.gov/events/climate-resilient-future-equitable-just-future"</f>
        <v>0</v>
      </c>
      <c r="D163" s="92"/>
      <c r="E163" s="93" t="s">
        <v>541</v>
      </c>
      <c r="F163" s="92" t="s">
        <v>542</v>
      </c>
      <c r="G163" s="119">
        <f>"&amp;hellip; climate resilient future depends on attention to and increased achievement of social equity and justice."</f>
        <v>0</v>
      </c>
      <c r="H163" s="104">
        <f>"&lt;b&gt;Ed&amp;nbsp;Carr&gt;/b&gt;, PhD, Dir. and Prof., Int&amp;rsquo;l Devel., Community, and Envir. Dep&amp;rsquo;t, Clark University"</f>
        <v>0</v>
      </c>
      <c r="I163" s="123"/>
      <c r="J163" s="97"/>
      <c r="K163" s="124"/>
      <c r="L163" s="113">
        <f>"registration:  https://volpe-events.webex.com/ec3300/eventcenter/enroll/join.do?confId=194474171671002485&amp;theAction=detail&amp;path=program_detail&amp;siteurl=volpe-events&amp;confViewID=194474171671002485&amp;internalProgramTicketUnList=4832534b000000046308844376a8cb409"</f>
        <v>0</v>
      </c>
      <c r="M163" s="113"/>
      <c r="N163" s="116">
        <f>"Series link:  https://www.volpe.dot.gov/events/innovation-for-sustainable-equitable-transportation"</f>
        <v>0</v>
      </c>
      <c r="O163" s="114" t="s">
        <v>181</v>
      </c>
      <c r="P163" s="115" t="s">
        <v>521</v>
      </c>
      <c r="Q163" s="117" t="s">
        <v>182</v>
      </c>
      <c r="R163" s="265" t="s">
        <v>54</v>
      </c>
      <c r="S163" s="87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</row>
    <row r="164" spans="1:64" s="102" customFormat="1" ht="42.75" customHeight="1">
      <c r="A164" s="89">
        <f>"TRB Free Webinar:&amp;nbsp; Catching Up on Low&amp;#8209;speed Automated Vehicles in Public Transit"</f>
        <v>0</v>
      </c>
      <c r="B164" s="92" t="s">
        <v>543</v>
      </c>
      <c r="C164" s="92">
        <f>"https://webinar.mytrb.org/Webinars/Details/1494"</f>
        <v>0</v>
      </c>
      <c r="D164" s="92"/>
      <c r="E164" s="93" t="s">
        <v>544</v>
      </c>
      <c r="F164" s="92" t="s">
        <v>545</v>
      </c>
      <c r="G164" s="119">
        <f>"Interest in driverless vehicles, including low-speed automated vehicles (LSAVs), continues to expand &amp;hellip;"</f>
        <v>0</v>
      </c>
      <c r="H164" s="104">
        <f>"&lt;b&gt;Kelley&amp;nbsp;Coyner&lt;/b&gt;, Mobility e3, LLC -&amp;- Cent. for Regional Anal., George&amp;nbsp;Mason&amp;nbsp;Univ."</f>
        <v>0</v>
      </c>
      <c r="I164" s="266"/>
      <c r="J164" s="267"/>
      <c r="K164" s="268"/>
      <c r="L164" s="113" t="s">
        <v>546</v>
      </c>
      <c r="M164" s="100"/>
      <c r="N164" s="264"/>
      <c r="O164" s="114" t="s">
        <v>118</v>
      </c>
      <c r="P164" s="115" t="s">
        <v>547</v>
      </c>
      <c r="Q164" s="117" t="s">
        <v>64</v>
      </c>
      <c r="R164" s="185" t="s">
        <v>65</v>
      </c>
      <c r="S164" s="87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</row>
    <row r="165" spans="1:64" s="102" customFormat="1" ht="17.25" customHeight="1">
      <c r="A165" s="89"/>
      <c r="B165" s="92"/>
      <c r="C165" s="92"/>
      <c r="D165" s="92"/>
      <c r="E165" s="92"/>
      <c r="F165" s="92"/>
      <c r="G165" s="119"/>
      <c r="H165" s="104">
        <f>"&lt;b&gt;Shane&amp;nbsp;Blackmer&lt;/b&gt;, Stantec"</f>
        <v>0</v>
      </c>
      <c r="I165" s="266"/>
      <c r="J165" s="267"/>
      <c r="K165" s="268"/>
      <c r="L165" s="113"/>
      <c r="M165" s="100"/>
      <c r="N165" s="264"/>
      <c r="O165" s="114"/>
      <c r="P165" s="115"/>
      <c r="Q165" s="117"/>
      <c r="R165" s="185"/>
      <c r="S165" s="87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</row>
    <row r="166" spans="1:64" s="102" customFormat="1" ht="26.25" customHeight="1">
      <c r="A166" s="89"/>
      <c r="B166" s="92"/>
      <c r="C166" s="92"/>
      <c r="D166" s="92"/>
      <c r="E166" s="92"/>
      <c r="F166" s="92"/>
      <c r="G166" s="119"/>
      <c r="H166" s="104">
        <f>"&lt;b&gt;John&amp;nbsp;Good&lt;/b&gt;, formerly with Mobility e3, LLC"</f>
        <v>0</v>
      </c>
      <c r="I166" s="266"/>
      <c r="J166" s="267"/>
      <c r="K166" s="268"/>
      <c r="L166" s="113"/>
      <c r="M166" s="100"/>
      <c r="N166" s="264"/>
      <c r="O166" s="114"/>
      <c r="P166" s="115"/>
      <c r="Q166" s="117"/>
      <c r="R166" s="185"/>
      <c r="S166" s="87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</row>
    <row r="167" spans="1:64" s="102" customFormat="1" ht="26.25" customHeight="1">
      <c r="A167" s="89"/>
      <c r="B167" s="92"/>
      <c r="C167" s="92"/>
      <c r="D167" s="92"/>
      <c r="E167" s="92"/>
      <c r="F167" s="92"/>
      <c r="G167" s="119"/>
      <c r="H167" s="104">
        <f>"&lt;b&gt;Bernie&amp;nbsp;Schmidt&lt;/b&gt;, Jacksonville Trans. Auth."</f>
        <v>0</v>
      </c>
      <c r="I167" s="266"/>
      <c r="J167" s="267"/>
      <c r="K167" s="268"/>
      <c r="L167" s="113"/>
      <c r="M167" s="100"/>
      <c r="N167" s="264"/>
      <c r="O167" s="114"/>
      <c r="P167" s="115"/>
      <c r="Q167" s="117"/>
      <c r="R167" s="185"/>
      <c r="S167" s="87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</row>
    <row r="168" spans="1:64" s="102" customFormat="1" ht="27" customHeight="1">
      <c r="A168" s="89"/>
      <c r="B168" s="92"/>
      <c r="C168" s="92"/>
      <c r="D168" s="92"/>
      <c r="E168" s="92"/>
      <c r="F168" s="92"/>
      <c r="G168" s="119"/>
      <c r="H168" s="104">
        <f>"&lt;b&gt;Paul&amp;nbsp;Lewis&lt;/b&gt;, Eno Cen. for&amp;nbsp;Transp."</f>
        <v>0</v>
      </c>
      <c r="I168" s="266"/>
      <c r="J168" s="267"/>
      <c r="K168" s="268"/>
      <c r="L168" s="113"/>
      <c r="M168" s="100"/>
      <c r="N168" s="264"/>
      <c r="O168" s="114"/>
      <c r="P168" s="115"/>
      <c r="Q168" s="117"/>
      <c r="R168" s="185"/>
      <c r="S168" s="87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</row>
    <row r="169" spans="1:64" ht="45" customHeight="1">
      <c r="A169" s="203" t="s">
        <v>548</v>
      </c>
      <c r="B169" s="203" t="s">
        <v>549</v>
      </c>
      <c r="C169" s="204">
        <f>"https://www.powertodrive.de/en/home"</f>
        <v>0</v>
      </c>
      <c r="D169" s="204" t="s">
        <v>550</v>
      </c>
      <c r="E169" s="205" t="s">
        <v>551</v>
      </c>
      <c r="F169" s="92" t="s">
        <v>552</v>
      </c>
      <c r="G169" s="206" t="s">
        <v>553</v>
      </c>
      <c r="H169" s="207" t="s">
        <v>554</v>
      </c>
      <c r="I169" s="96"/>
      <c r="J169" s="97"/>
      <c r="K169" s="98">
        <f>"AVERE Contact Form:  https://www.avere.org/#contact"</f>
        <v>0</v>
      </c>
      <c r="L169" s="269">
        <f>"Quick Facts:  https://www.powertodrive.de/en/for-visitors/exhibition/quick-facts"</f>
        <v>0</v>
      </c>
      <c r="M169" s="100"/>
      <c r="N169" s="101"/>
      <c r="O169" s="201" t="s">
        <v>431</v>
      </c>
      <c r="P169" s="111" t="s">
        <v>555</v>
      </c>
      <c r="Q169" s="107" t="s">
        <v>64</v>
      </c>
      <c r="R169" s="108" t="s">
        <v>65</v>
      </c>
      <c r="S169" s="87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</row>
    <row r="170" spans="1:64" ht="46.5" customHeight="1">
      <c r="A170" s="203"/>
      <c r="B170" s="203"/>
      <c r="C170" s="204"/>
      <c r="D170" s="204"/>
      <c r="E170" s="205"/>
      <c r="F170" s="92"/>
      <c r="G170" s="206"/>
      <c r="H170" s="207"/>
      <c r="I170" s="96"/>
      <c r="J170" s="97"/>
      <c r="K170" s="98"/>
      <c r="L170" s="269">
        <f>"Program overview:  https://www.powertodrive.de/en/conference/program/program-overview"</f>
        <v>0</v>
      </c>
      <c r="M170" s="100"/>
      <c r="N170" s="101"/>
      <c r="O170" s="201" t="s">
        <v>556</v>
      </c>
      <c r="P170" s="111">
        <f>"https://www.powertodrive.de/en/home"</f>
        <v>0</v>
      </c>
      <c r="Q170" s="107"/>
      <c r="R170" s="108"/>
      <c r="S170" s="87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</row>
    <row r="171" spans="1:64" s="102" customFormat="1" ht="54.75" customHeight="1">
      <c r="A171" s="89">
        <f>"Free Webinar:&amp;nbsp;  High Speed Rail Connecting Midwest"</f>
        <v>0</v>
      </c>
      <c r="B171" s="90" t="s">
        <v>557</v>
      </c>
      <c r="C171" s="103">
        <f>"https://zoom.us/meeting/register/tJ0pdu2trzMjHdBWE3sn2ZxcOVIbLjxz8F3g"</f>
        <v>0</v>
      </c>
      <c r="D171" s="92"/>
      <c r="E171" s="93" t="s">
        <v>558</v>
      </c>
      <c r="F171" s="92" t="s">
        <v>559</v>
      </c>
      <c r="G171" s="94"/>
      <c r="H171" s="104">
        <f>"Speaker:  &lt;b&gt;Rick&amp;nbsp;Harnish&lt;/b&gt;, Exec. Dir., High Speed Rail&amp;nbsp;Alliance"</f>
        <v>0</v>
      </c>
      <c r="I171" s="96"/>
      <c r="J171" s="105"/>
      <c r="K171" s="98"/>
      <c r="L171" s="106"/>
      <c r="M171" s="92"/>
      <c r="N171" s="107"/>
      <c r="O171" s="106">
        <f>"LIMBA:  Long Island Metroplitan Business Action"</f>
        <v>0</v>
      </c>
      <c r="P171" s="92">
        <f>"https://limba.net/"</f>
        <v>0</v>
      </c>
      <c r="Q171" s="107" t="s">
        <v>207</v>
      </c>
      <c r="R171" s="118" t="s">
        <v>54</v>
      </c>
      <c r="S171" s="87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</row>
    <row r="172" spans="1:64" s="102" customFormat="1" ht="32.25" customHeight="1">
      <c r="A172" s="89"/>
      <c r="B172" s="90"/>
      <c r="C172" s="103"/>
      <c r="D172" s="92"/>
      <c r="E172" s="93"/>
      <c r="F172" s="92"/>
      <c r="G172" s="94"/>
      <c r="H172" s="104">
        <f>"Host: &lt;b&gt;Ernie&amp;nbsp;Fazio&lt;/b&gt;, LIMBA"</f>
        <v>0</v>
      </c>
      <c r="I172" s="96"/>
      <c r="J172" s="105"/>
      <c r="K172" s="98"/>
      <c r="L172" s="106"/>
      <c r="M172" s="92"/>
      <c r="N172" s="107"/>
      <c r="O172" s="106"/>
      <c r="P172" s="92"/>
      <c r="Q172" s="107"/>
      <c r="R172" s="118"/>
      <c r="S172" s="87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</row>
    <row r="173" spans="1:64" ht="53.25" customHeight="1">
      <c r="A173" s="125" t="s">
        <v>560</v>
      </c>
      <c r="B173" s="128" t="s">
        <v>350</v>
      </c>
      <c r="C173" s="128">
        <f>"https://techconnectworld.com/World2021/"</f>
        <v>0</v>
      </c>
      <c r="D173" s="128" t="s">
        <v>561</v>
      </c>
      <c r="E173" s="129" t="s">
        <v>562</v>
      </c>
      <c r="F173" s="128" t="s">
        <v>563</v>
      </c>
      <c r="G173" s="130">
        <f>"&amp;hellip; the premier innovation commercialization and networking event in the US. &lt;font size=2&gt;&amp;mdash; BASF&lt;/font&gt;"</f>
        <v>0</v>
      </c>
      <c r="H173" s="131"/>
      <c r="I173" s="192"/>
      <c r="J173" s="133"/>
      <c r="K173" s="270">
        <f>"https://techconnectworld.com/World2021/contact.html"</f>
        <v>0</v>
      </c>
      <c r="L173" s="181">
        <f>"https://techconnectworld.com/World2020/participate/authors/"</f>
        <v>0</v>
      </c>
      <c r="M173" s="182"/>
      <c r="N173" s="271" t="s">
        <v>564</v>
      </c>
      <c r="O173" s="194" t="s">
        <v>350</v>
      </c>
      <c r="P173" s="128">
        <f>"https://techconnect.org/events/"</f>
        <v>0</v>
      </c>
      <c r="Q173" s="195" t="s">
        <v>64</v>
      </c>
      <c r="R173" s="196" t="s">
        <v>65</v>
      </c>
      <c r="S173" s="87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</row>
    <row r="174" spans="1:64" ht="37.5" customHeight="1">
      <c r="A174" s="125"/>
      <c r="B174" s="128"/>
      <c r="C174" s="128"/>
      <c r="D174" s="128"/>
      <c r="E174" s="129"/>
      <c r="F174" s="128"/>
      <c r="G174" s="272" t="s">
        <v>565</v>
      </c>
      <c r="H174" s="131"/>
      <c r="I174" s="192"/>
      <c r="J174" s="133"/>
      <c r="K174" s="270"/>
      <c r="L174" s="181">
        <f>"Call for Innovations:  https://techconnectworld.com/World2020/participate/innovation/"</f>
        <v>0</v>
      </c>
      <c r="M174" s="115">
        <f>"https://techconnectworld.com/World2020/participate/innovation/form.html"</f>
        <v>0</v>
      </c>
      <c r="N174" s="271">
        <f>"Rolling Deadline"</f>
        <v>0</v>
      </c>
      <c r="O174" s="194"/>
      <c r="P174" s="128"/>
      <c r="Q174" s="195"/>
      <c r="R174" s="196"/>
      <c r="S174" s="87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</row>
    <row r="175" spans="1:64" ht="51" customHeight="1">
      <c r="A175" s="125"/>
      <c r="B175" s="128"/>
      <c r="C175" s="128"/>
      <c r="D175" s="128"/>
      <c r="E175" s="129"/>
      <c r="F175" s="128"/>
      <c r="G175" s="273" t="s">
        <v>566</v>
      </c>
      <c r="H175" s="131"/>
      <c r="I175" s="192"/>
      <c r="J175" s="133"/>
      <c r="K175" s="270"/>
      <c r="L175" s="181">
        <f>"SBIR Fast Track Innovation Showcase:  https://techconnectworld.com/World2020/participate/innovation/sbir-fast-track.html      (6/29-30 only)"</f>
        <v>0</v>
      </c>
      <c r="M175" s="115"/>
      <c r="N175" s="271" t="s">
        <v>567</v>
      </c>
      <c r="O175" s="194"/>
      <c r="P175" s="128"/>
      <c r="Q175" s="195"/>
      <c r="R175" s="196"/>
      <c r="S175" s="87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</row>
    <row r="176" spans="1:64" ht="49.5" customHeight="1">
      <c r="A176" s="125"/>
      <c r="B176" s="128"/>
      <c r="C176" s="128"/>
      <c r="D176" s="128"/>
      <c r="E176" s="129"/>
      <c r="F176" s="128"/>
      <c r="G176" s="273"/>
      <c r="H176" s="131"/>
      <c r="I176" s="192"/>
      <c r="J176" s="133"/>
      <c r="K176" s="270"/>
      <c r="L176" s="181">
        <f>"Call for Posters:  https://techconnectworld.com/World2020/participate/authors/"</f>
        <v>0</v>
      </c>
      <c r="M176" s="182">
        <f>"Review Committee:  https://techconnectworld.com/World2020/about/committee.html"</f>
        <v>0</v>
      </c>
      <c r="N176" s="271" t="s">
        <v>568</v>
      </c>
      <c r="O176" s="194"/>
      <c r="P176" s="128"/>
      <c r="Q176" s="195"/>
      <c r="R176" s="196"/>
      <c r="S176" s="87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</row>
    <row r="177" spans="1:64" ht="49.5" customHeight="1">
      <c r="A177" s="125" t="s">
        <v>569</v>
      </c>
      <c r="B177" s="128"/>
      <c r="C177" s="128">
        <f>"https://techconnectworld.com/SBIRSpring2021/"</f>
        <v>0</v>
      </c>
      <c r="D177" s="128"/>
      <c r="E177" s="129"/>
      <c r="F177" s="128"/>
      <c r="G177" s="273"/>
      <c r="H177" s="245"/>
      <c r="I177" s="149"/>
      <c r="J177" s="121"/>
      <c r="K177" s="270"/>
      <c r="L177" s="274">
        <f>"Innovation Showcase:  https://techconnectworld.com/World2020/participate/innovation/"</f>
        <v>0</v>
      </c>
      <c r="M177" s="275">
        <f>"https://techconnectworld.com/World2020/participate/innovation/form.html"</f>
        <v>0</v>
      </c>
      <c r="N177" s="276" t="s">
        <v>570</v>
      </c>
      <c r="O177" s="194"/>
      <c r="P177" s="128"/>
      <c r="Q177" s="195"/>
      <c r="R177" s="196"/>
      <c r="S177" s="87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</row>
    <row r="178" spans="1:64" ht="40.5" customHeight="1">
      <c r="A178" s="125">
        <f>"NanoTech 2021 Conference and Expo"</f>
        <v>0</v>
      </c>
      <c r="B178" s="128"/>
      <c r="C178" s="128">
        <f>"https://techconnectworld.com/Nanotech2021/"</f>
        <v>0</v>
      </c>
      <c r="D178" s="128"/>
      <c r="E178" s="129"/>
      <c r="F178" s="128"/>
      <c r="G178" s="273"/>
      <c r="H178" s="245"/>
      <c r="I178" s="149"/>
      <c r="J178" s="121"/>
      <c r="K178" s="270">
        <f>"https://techconnectworld.com/Nanotech2021/contact.html"</f>
        <v>0</v>
      </c>
      <c r="L178" s="274"/>
      <c r="M178" s="275"/>
      <c r="N178" s="276"/>
      <c r="O178" s="194"/>
      <c r="P178" s="128"/>
      <c r="Q178" s="195"/>
      <c r="R178" s="196"/>
      <c r="S178" s="87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</row>
    <row r="179" spans="1:64" ht="40.5" customHeight="1">
      <c r="A179" s="125">
        <f>"AI TechConnect 2021 Conference and Expo"</f>
        <v>0</v>
      </c>
      <c r="B179" s="128"/>
      <c r="C179" s="128">
        <f>"https://events.techconnect.org/AISpring/"</f>
        <v>0</v>
      </c>
      <c r="D179" s="128"/>
      <c r="E179" s="129"/>
      <c r="F179" s="128"/>
      <c r="G179" s="165">
        <f>"AI &amp; Machine Learning:&amp;nbsp; Accelerating Industry Solutions."</f>
        <v>0</v>
      </c>
      <c r="H179" s="245"/>
      <c r="I179" s="149"/>
      <c r="J179" s="121"/>
      <c r="K179" s="277"/>
      <c r="L179" s="274"/>
      <c r="M179" s="275"/>
      <c r="N179" s="276"/>
      <c r="O179" s="194"/>
      <c r="P179" s="128"/>
      <c r="Q179" s="195"/>
      <c r="R179" s="196"/>
      <c r="S179" s="87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</row>
    <row r="180" spans="1:64" ht="30" customHeight="1">
      <c r="A180" s="89">
        <f>"TRB Free Webinar:&amp;nbsp; Redesigning Transit Networks for the New Mobility Future"</f>
        <v>0</v>
      </c>
      <c r="B180" s="92" t="s">
        <v>571</v>
      </c>
      <c r="C180" s="92">
        <f>"http://www.trb.org/Main/Blurbs/182113.aspx"</f>
        <v>0</v>
      </c>
      <c r="D180" s="92"/>
      <c r="E180" s="93" t="s">
        <v>572</v>
      </c>
      <c r="F180" s="92" t="s">
        <v>573</v>
      </c>
      <c r="G180" s="94">
        <f>"&amp;hellip; actionable steps for redesigning transit networks to prepare for the future."</f>
        <v>0</v>
      </c>
      <c r="H180" s="104">
        <f>"&lt;b&gt;Lora&amp;nbsp;Byala&lt;/b&gt;, Foursquare Integrated Transp. Planning, Inc."</f>
        <v>0</v>
      </c>
      <c r="I180" s="123"/>
      <c r="J180" s="97"/>
      <c r="K180" s="124"/>
      <c r="L180" s="142">
        <f>"registration:  https://webinar.mytrb.org/Webinars/RedirectToRegister?WebinarKey=7483041257892392460"</f>
        <v>0</v>
      </c>
      <c r="M180" s="115">
        <f>"Based on report:  TCRP Report 221: Redesigning Transit Networks for the New Mobility Future  https://www.nap.edu/download/26028"</f>
        <v>0</v>
      </c>
      <c r="N180" s="115"/>
      <c r="O180" s="110" t="s">
        <v>118</v>
      </c>
      <c r="P180" s="92" t="s">
        <v>547</v>
      </c>
      <c r="Q180" s="156" t="s">
        <v>64</v>
      </c>
      <c r="R180" s="157" t="s">
        <v>65</v>
      </c>
      <c r="S180" s="87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</row>
    <row r="181" spans="1:64" ht="40.5" customHeight="1">
      <c r="A181" s="89"/>
      <c r="B181" s="92"/>
      <c r="C181" s="92"/>
      <c r="D181" s="92"/>
      <c r="E181" s="93"/>
      <c r="F181" s="93"/>
      <c r="G181" s="94"/>
      <c r="H181" s="104">
        <f>"&lt;b&gt;Shana&amp;nbsp;Johnson&lt;/b&gt;, Foursquare Integrated Transp. Planning, Inc."</f>
        <v>0</v>
      </c>
      <c r="I181" s="123"/>
      <c r="J181" s="97"/>
      <c r="K181" s="124"/>
      <c r="L181" s="142"/>
      <c r="M181" s="115"/>
      <c r="N181" s="115"/>
      <c r="O181" s="110"/>
      <c r="P181" s="92"/>
      <c r="Q181" s="156"/>
      <c r="R181" s="157"/>
      <c r="S181" s="87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</row>
    <row r="182" spans="1:64" ht="32.25" customHeight="1">
      <c r="A182" s="89"/>
      <c r="B182" s="92"/>
      <c r="C182" s="92"/>
      <c r="D182" s="92"/>
      <c r="E182" s="93"/>
      <c r="F182" s="93"/>
      <c r="G182" s="94"/>
      <c r="H182" s="104">
        <f>"&lt;b&gt;Brianne&amp;nbsp;Eby&lt;/b&gt;, Eno Center for Transp."</f>
        <v>0</v>
      </c>
      <c r="I182" s="123"/>
      <c r="J182" s="97"/>
      <c r="K182" s="124"/>
      <c r="L182" s="142"/>
      <c r="M182" s="115"/>
      <c r="N182" s="115"/>
      <c r="O182" s="110"/>
      <c r="P182" s="92"/>
      <c r="Q182" s="156"/>
      <c r="R182" s="157"/>
      <c r="S182" s="87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</row>
    <row r="183" spans="1:64" ht="38.25" customHeight="1">
      <c r="A183" s="89"/>
      <c r="B183" s="92"/>
      <c r="C183" s="92"/>
      <c r="D183" s="92"/>
      <c r="E183" s="93"/>
      <c r="F183" s="93"/>
      <c r="G183" s="94"/>
      <c r="H183" s="104">
        <f>"Moderated by &lt;b&gt;Todd&amp;nbsp;Hemingson&lt;/b&gt;,&amp;nbsp;HDR"</f>
        <v>0</v>
      </c>
      <c r="I183" s="123"/>
      <c r="J183" s="97"/>
      <c r="K183" s="124"/>
      <c r="L183" s="142"/>
      <c r="M183" s="115"/>
      <c r="N183" s="115"/>
      <c r="O183" s="110"/>
      <c r="P183" s="92"/>
      <c r="Q183" s="156"/>
      <c r="R183" s="157"/>
      <c r="S183" s="87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</row>
    <row r="184" spans="1:64" s="102" customFormat="1" ht="53.25" customHeight="1">
      <c r="A184" s="89" t="s">
        <v>574</v>
      </c>
      <c r="B184" s="92" t="s">
        <v>575</v>
      </c>
      <c r="C184" s="92">
        <f>"https://forthmobility.org/events/roadmap-conference"</f>
        <v>0</v>
      </c>
      <c r="D184" s="92" t="s">
        <v>576</v>
      </c>
      <c r="E184" s="93" t="s">
        <v>577</v>
      </c>
      <c r="F184" s="92" t="s">
        <v>578</v>
      </c>
      <c r="G184" s="198">
        <f>"&amp;hellip; clean, efficient, accessible transportation future for all."</f>
        <v>0</v>
      </c>
      <c r="H184" s="104"/>
      <c r="I184" s="123"/>
      <c r="J184" s="97"/>
      <c r="K184" s="124"/>
      <c r="L184" s="278"/>
      <c r="M184" s="182">
        <f>"registration:  https://www.roadmapforth.org/register/"</f>
        <v>0</v>
      </c>
      <c r="N184" s="115"/>
      <c r="O184" s="110" t="s">
        <v>579</v>
      </c>
      <c r="P184" s="279" t="s">
        <v>233</v>
      </c>
      <c r="Q184" s="156" t="s">
        <v>64</v>
      </c>
      <c r="R184" s="157" t="s">
        <v>65</v>
      </c>
      <c r="S184" s="87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</row>
    <row r="185" spans="1:64" s="102" customFormat="1" ht="58.5" customHeight="1">
      <c r="A185" s="203" t="s">
        <v>580</v>
      </c>
      <c r="B185" s="203">
        <f>"acad06-21-6"</f>
        <v>0</v>
      </c>
      <c r="C185" s="204">
        <f>"https://www.sae.org/learn/content/acad06/"</f>
        <v>0</v>
      </c>
      <c r="D185" s="92" t="s">
        <v>581</v>
      </c>
      <c r="E185" s="205" t="s">
        <v>582</v>
      </c>
      <c r="F185" s="115" t="s">
        <v>583</v>
      </c>
      <c r="G185" s="206" t="s">
        <v>584</v>
      </c>
      <c r="H185" s="207" t="s">
        <v>585</v>
      </c>
      <c r="I185" s="96"/>
      <c r="J185" s="97"/>
      <c r="K185" s="98"/>
      <c r="L185" s="113" t="s">
        <v>586</v>
      </c>
      <c r="M185" s="100" t="s">
        <v>587</v>
      </c>
      <c r="N185" s="280" t="s">
        <v>588</v>
      </c>
      <c r="O185" s="106" t="s">
        <v>171</v>
      </c>
      <c r="P185" s="92">
        <f>"https://www.sae.org/learn/professional-development"</f>
        <v>0</v>
      </c>
      <c r="Q185" s="107" t="s">
        <v>64</v>
      </c>
      <c r="R185" s="108" t="s">
        <v>65</v>
      </c>
      <c r="S185" s="87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</row>
    <row r="186" spans="1:64" s="102" customFormat="1" ht="38.25" customHeight="1">
      <c r="A186" s="175" t="s">
        <v>589</v>
      </c>
      <c r="B186" s="176" t="s">
        <v>590</v>
      </c>
      <c r="C186" s="177">
        <f>"https://www.intertraffic.com/china/"</f>
        <v>0</v>
      </c>
      <c r="D186" s="115" t="s">
        <v>501</v>
      </c>
      <c r="E186" s="178">
        <f>"2021/06/17 – 19"</f>
        <v>0</v>
      </c>
      <c r="F186" s="115" t="s">
        <v>591</v>
      </c>
      <c r="G186" s="160" t="s">
        <v>592</v>
      </c>
      <c r="H186" s="161"/>
      <c r="I186" s="114"/>
      <c r="J186" s="115"/>
      <c r="K186" s="98">
        <f>"mailto:intertraffic@rai.nl"</f>
        <v>0</v>
      </c>
      <c r="L186" s="281">
        <f>"Exhibitor's info: https://www.intertraffic.com/china/exhibiting/"</f>
        <v>0</v>
      </c>
      <c r="M186" s="100">
        <f>"About:  https://www.intertraffic.com/china/exhibition-info/"</f>
        <v>0</v>
      </c>
      <c r="N186" s="116"/>
      <c r="O186" s="114" t="s">
        <v>288</v>
      </c>
      <c r="P186" s="115">
        <f>"https://www.intertraffic.com/"</f>
        <v>0</v>
      </c>
      <c r="Q186" s="117" t="s">
        <v>64</v>
      </c>
      <c r="R186" s="185" t="s">
        <v>65</v>
      </c>
      <c r="S186" s="87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</row>
    <row r="187" spans="1:64" s="102" customFormat="1" ht="38.25" customHeight="1">
      <c r="A187" s="175"/>
      <c r="B187" s="176"/>
      <c r="C187" s="177">
        <f>"In Chinese:  http://www.intertrafficchina.com/"</f>
        <v>0</v>
      </c>
      <c r="D187" s="115"/>
      <c r="E187" s="178"/>
      <c r="F187" s="115"/>
      <c r="G187" s="160"/>
      <c r="H187" s="161"/>
      <c r="I187" s="114"/>
      <c r="J187" s="115"/>
      <c r="K187" s="98"/>
      <c r="L187" s="281"/>
      <c r="M187" s="100"/>
      <c r="N187" s="116"/>
      <c r="O187" s="114"/>
      <c r="P187" s="115"/>
      <c r="Q187" s="117"/>
      <c r="R187" s="185"/>
      <c r="S187" s="87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</row>
    <row r="188" spans="1:64" s="102" customFormat="1" ht="56.25" customHeight="1">
      <c r="A188" s="175">
        <f>"Experience Future Mobility Now:&amp;nbsp; Up Close this October"</f>
        <v>0</v>
      </c>
      <c r="B188" s="176" t="s">
        <v>593</v>
      </c>
      <c r="C188" s="177">
        <f>"https://erticonetwork.com/webinar-experience-future-mobility-now-up-close-this-october/"</f>
        <v>0</v>
      </c>
      <c r="D188" s="115"/>
      <c r="E188" s="178" t="s">
        <v>594</v>
      </c>
      <c r="F188" s="115" t="s">
        <v>595</v>
      </c>
      <c r="G188" s="160">
        <f>"&amp;hellip; helicopter view of what awaits you at the ITS World Congress! (Hamburg ITS World Congress)"</f>
        <v>0</v>
      </c>
      <c r="H188" s="161">
        <f>"&lt;/b&gt;Host and Chair:&amp;nbsp;&lt;font size=2&gt; &lt;b&gt;Lisa&amp;nbsp;Boch&amp;&amp;#8209;Andersen&lt;/b&gt;, Dir. Comm. &amp; Events, ERTICO&amp;#8209;ITS&amp;nbsp;Europe"</f>
        <v>0</v>
      </c>
      <c r="I188" s="114"/>
      <c r="J188" s="115"/>
      <c r="K188" s="98"/>
      <c r="L188" s="281">
        <f>"Registration form:  https://register.gotowebinar.com/register/5498109408340740878"</f>
        <v>0</v>
      </c>
      <c r="M188" s="100"/>
      <c r="N188" s="116"/>
      <c r="O188" s="114" t="s">
        <v>596</v>
      </c>
      <c r="P188" s="115" t="s">
        <v>597</v>
      </c>
      <c r="Q188" s="117" t="s">
        <v>64</v>
      </c>
      <c r="R188" s="185" t="s">
        <v>65</v>
      </c>
      <c r="S188" s="87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</row>
    <row r="189" spans="1:64" s="102" customFormat="1" ht="52.5" customHeight="1">
      <c r="A189" s="175"/>
      <c r="B189" s="176"/>
      <c r="C189" s="177"/>
      <c r="D189" s="115"/>
      <c r="E189" s="178"/>
      <c r="F189" s="115"/>
      <c r="G189" s="160"/>
      <c r="H189" s="161">
        <f>"&lt;/font&gt;invited&amp;nbsp;speakers:&lt;/font&gt;  &lt;b&gt;martin&amp;nbsp;huber&lt;/b&gt;, dir., gen&amp;rsquo;l transport, hamburg ministry of transp. &amp; and mobil. transition"</f>
        <v>0</v>
      </c>
      <c r="I189" s="114"/>
      <c r="J189" s="115"/>
      <c r="K189" s="98"/>
      <c r="L189" s="281"/>
      <c r="M189" s="100"/>
      <c r="N189" s="116"/>
      <c r="O189" s="114"/>
      <c r="P189" s="115"/>
      <c r="Q189" s="117"/>
      <c r="R189" s="185"/>
      <c r="S189" s="87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</row>
    <row r="190" spans="1:64" s="102" customFormat="1" ht="27" customHeight="1">
      <c r="A190" s="175"/>
      <c r="B190" s="176"/>
      <c r="C190" s="177"/>
      <c r="D190" s="115"/>
      <c r="E190" s="178"/>
      <c r="F190" s="115"/>
      <c r="G190" s="160"/>
      <c r="H190" s="161">
        <f>"&lt;b&gt;Takehiko&amp;nbsp;Barada&lt;/b&gt;, Sr. VP, ITS&amp;nbsp;Japan"</f>
        <v>0</v>
      </c>
      <c r="I190" s="114"/>
      <c r="J190" s="115"/>
      <c r="K190" s="98"/>
      <c r="L190" s="281">
        <f>"Agenda:  https://erticonetwork.com/wp-content/uploads/2021/06/ITSWC-Webinar-3-AGENDA.pdf"</f>
        <v>0</v>
      </c>
      <c r="M190" s="100"/>
      <c r="N190" s="116"/>
      <c r="O190" s="114"/>
      <c r="P190" s="115"/>
      <c r="Q190" s="117"/>
      <c r="R190" s="185"/>
      <c r="S190" s="87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</row>
    <row r="191" spans="1:64" s="102" customFormat="1" ht="37.5" customHeight="1">
      <c r="A191" s="175"/>
      <c r="B191" s="176"/>
      <c r="C191" s="177"/>
      <c r="D191" s="115"/>
      <c r="E191" s="178"/>
      <c r="F191" s="115"/>
      <c r="G191" s="160"/>
      <c r="H191" s="161">
        <f>"&lt;b&gt;Carol&amp;nbsp;Schweiger&lt;/b&gt;, Pres., Schweiger Cons LLC, Techn. Strat. for Mobility"</f>
        <v>0</v>
      </c>
      <c r="I191" s="114"/>
      <c r="J191" s="115"/>
      <c r="K191" s="98"/>
      <c r="L191" s="281"/>
      <c r="M191" s="100"/>
      <c r="N191" s="116"/>
      <c r="O191" s="114"/>
      <c r="P191" s="115"/>
      <c r="Q191" s="117"/>
      <c r="R191" s="185"/>
      <c r="S191" s="87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</row>
    <row r="192" spans="1:64" s="102" customFormat="1" ht="39" customHeight="1">
      <c r="A192" s="175"/>
      <c r="B192" s="176"/>
      <c r="C192" s="177"/>
      <c r="D192" s="115"/>
      <c r="E192" s="178"/>
      <c r="F192" s="115"/>
      <c r="G192" s="160"/>
      <c r="H192" s="161">
        <f>"&lt;b&gt;Johanna&amp;nbsp;Tzanidaki&lt;/b&gt;, Dir., Innovation &amp; Deployment, ERTICO&amp;#8209;ITS&amp;nbsp;Europe"</f>
        <v>0</v>
      </c>
      <c r="I192" s="114"/>
      <c r="J192" s="115"/>
      <c r="K192" s="98"/>
      <c r="L192" s="281">
        <f>"Main event:  #D2215"</f>
        <v>0</v>
      </c>
      <c r="M192" s="100"/>
      <c r="N192" s="116"/>
      <c r="O192" s="114"/>
      <c r="P192" s="115"/>
      <c r="Q192" s="117"/>
      <c r="R192" s="185"/>
      <c r="S192" s="87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</row>
    <row r="193" spans="1:64" ht="57" customHeight="1">
      <c r="A193" s="89" t="s">
        <v>598</v>
      </c>
      <c r="B193" s="92" t="s">
        <v>599</v>
      </c>
      <c r="C193" s="103">
        <f>"https://www.itscanada.ca/"</f>
        <v>0</v>
      </c>
      <c r="D193" s="92" t="s">
        <v>600</v>
      </c>
      <c r="E193" s="93" t="s">
        <v>601</v>
      </c>
      <c r="F193" s="92" t="s">
        <v>602</v>
      </c>
      <c r="G193" s="94">
        <f>"creating connections that matter"</f>
        <v>0</v>
      </c>
      <c r="H193" s="245"/>
      <c r="I193" s="149"/>
      <c r="J193" s="121"/>
      <c r="K193" s="122"/>
      <c r="L193" s="246"/>
      <c r="M193" s="259"/>
      <c r="N193" s="236"/>
      <c r="O193" s="106" t="s">
        <v>603</v>
      </c>
      <c r="P193" s="92">
        <f>"https://www.itscanada.ca/events/event-list.html"</f>
        <v>0</v>
      </c>
      <c r="Q193" s="107" t="s">
        <v>64</v>
      </c>
      <c r="R193" s="108" t="s">
        <v>65</v>
      </c>
      <c r="S193" s="87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</row>
    <row r="194" spans="1:64" ht="51.75" customHeight="1">
      <c r="A194" s="89">
        <f>"2021 IEEE Transportation Electrification Conference and Expo (ITEC)"</f>
        <v>0</v>
      </c>
      <c r="B194" s="90" t="s">
        <v>604</v>
      </c>
      <c r="C194" s="103">
        <f>"https://itec-conf.com/"</f>
        <v>0</v>
      </c>
      <c r="D194" s="92" t="s">
        <v>605</v>
      </c>
      <c r="E194" s="93" t="s">
        <v>606</v>
      </c>
      <c r="F194" s="92" t="s">
        <v>607</v>
      </c>
      <c r="G194" s="272" t="s">
        <v>608</v>
      </c>
      <c r="H194" s="245">
        <f>"Virtual info.:  https://mailchi.mp/885d6af3ed8f/itec-2020-program-highlight-4112977?e=e9563d2192"</f>
        <v>0</v>
      </c>
      <c r="I194" s="120"/>
      <c r="J194" s="121"/>
      <c r="K194" s="98">
        <f>"https://itec-conf.com/contact-us/"</f>
        <v>0</v>
      </c>
      <c r="L194" s="113">
        <f>"Call for Papers, and Expo info:&amp;nbsp; https://itec-conf.com/call-for-papers/"</f>
        <v>0</v>
      </c>
      <c r="M194" s="100">
        <f>"Submission page:  https://catalyst.omnipress.com/#event-home/itec2021"</f>
        <v>0</v>
      </c>
      <c r="N194" s="116" t="s">
        <v>609</v>
      </c>
      <c r="O194" s="110" t="s">
        <v>610</v>
      </c>
      <c r="P194" s="92">
        <f>"http://tec.ieee.org/conferences-workshops"</f>
        <v>0</v>
      </c>
      <c r="Q194" s="156" t="s">
        <v>53</v>
      </c>
      <c r="R194" s="157" t="s">
        <v>65</v>
      </c>
      <c r="S194" s="87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</row>
    <row r="195" spans="1:64" ht="54" customHeight="1">
      <c r="A195" s="89"/>
      <c r="B195" s="90"/>
      <c r="C195" s="103"/>
      <c r="D195" s="92"/>
      <c r="E195" s="93"/>
      <c r="F195" s="92"/>
      <c r="G195" s="272"/>
      <c r="H195" s="245" t="s">
        <v>611</v>
      </c>
      <c r="I195" s="120"/>
      <c r="J195" s="121"/>
      <c r="K195" s="122">
        <f>"Sign up for updates:  https://us11.list-manage.com/subscribe?u=a3b42f922c6c24781f677755e&amp;id=57d8e51eac"</f>
        <v>0</v>
      </c>
      <c r="L195" s="113">
        <f>"Registration:  https://itec-conf.com/registration/"</f>
        <v>0</v>
      </c>
      <c r="M195" s="100">
        <f>"Brochure:  https://itec-conf.com/itec/wp-content/uploads/2020/10/ITEC-Call-For-Papers-7.pdf"</f>
        <v>0</v>
      </c>
      <c r="N195" s="236"/>
      <c r="O195" s="110"/>
      <c r="P195" s="92"/>
      <c r="Q195" s="156"/>
      <c r="R195" s="157"/>
      <c r="S195" s="87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</row>
    <row r="196" spans="1:64" ht="30.75" customHeight="1">
      <c r="A196" s="89"/>
      <c r="B196" s="90"/>
      <c r="C196" s="103"/>
      <c r="D196" s="92"/>
      <c r="E196" s="93"/>
      <c r="F196" s="92"/>
      <c r="G196" s="272"/>
      <c r="H196" s="245"/>
      <c r="I196" s="120"/>
      <c r="J196" s="121"/>
      <c r="K196" s="122"/>
      <c r="L196" s="246">
        <f>"Speakers Proposals:  https://itec-conf.com/call-for-speaking-proposals/"</f>
        <v>0</v>
      </c>
      <c r="M196" s="259"/>
      <c r="N196" s="236">
        <f>"One-page abstract and 5-page digest due 2020/01/06 (extended from 2019/12/15 and 12/01)"</f>
        <v>0</v>
      </c>
      <c r="O196" s="110"/>
      <c r="P196" s="92"/>
      <c r="Q196" s="156"/>
      <c r="R196" s="157"/>
      <c r="S196" s="87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</row>
    <row r="197" spans="1:64" ht="60" customHeight="1">
      <c r="A197" s="89"/>
      <c r="B197" s="90"/>
      <c r="C197" s="103"/>
      <c r="D197" s="92"/>
      <c r="E197" s="92"/>
      <c r="F197" s="92"/>
      <c r="G197" s="272"/>
      <c r="H197" s="245"/>
      <c r="I197" s="120"/>
      <c r="J197" s="121"/>
      <c r="K197" s="122"/>
      <c r="L197" s="282">
        <f>"Student travel grant (up to $800):  https://itec-conf.com/travel-awards/"</f>
        <v>0</v>
      </c>
      <c r="M197" s="283" t="s">
        <v>612</v>
      </c>
      <c r="N197" s="236"/>
      <c r="O197" s="110"/>
      <c r="P197" s="92"/>
      <c r="Q197" s="156"/>
      <c r="R197" s="157"/>
      <c r="S197" s="87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</row>
    <row r="198" spans="1:64" s="102" customFormat="1" ht="88.5" customHeight="1">
      <c r="A198" s="89" t="s">
        <v>613</v>
      </c>
      <c r="B198" s="92" t="s">
        <v>614</v>
      </c>
      <c r="C198" s="92">
        <f>"https://www.volpe.dot.gov/events/erin-mayfield-net-zero-america"</f>
        <v>0</v>
      </c>
      <c r="D198" s="92"/>
      <c r="E198" s="93" t="s">
        <v>615</v>
      </c>
      <c r="F198" s="92" t="s">
        <v>616</v>
      </c>
      <c r="G198" s="119">
        <f>"&amp;hellip; developing computational models that integrate techno-economic, environmental, and social equity &amp;hellip;"</f>
        <v>0</v>
      </c>
      <c r="H198" s="104">
        <f>"&lt;b&gt;Erin&amp;nbsp;Mayfield&lt;/b&gt;, PhD, postdoc. scholar, Andlinger Cen. for Energy and the Environ. -&amp;- High Meadows Environ. Inst. at Princeton Univ."</f>
        <v>0</v>
      </c>
      <c r="I198" s="123"/>
      <c r="J198" s="97"/>
      <c r="K198" s="124"/>
      <c r="L198" s="113">
        <f>"registration:  https://volpe-events.webex.com/ec3300/eventcenter/enroll/join.do?confId=194474348831063650&amp;theAction=detail&amp;path=program_detail&amp;siteurl=volpe-events&amp;confViewID=194474348831063650&amp;internalProgramTicketUnList=4832534b000000046308844376a8cb409"</f>
        <v>0</v>
      </c>
      <c r="M198" s="113"/>
      <c r="N198" s="116">
        <f>"Series link:  https://www.volpe.dot.gov/events/innovation-for-sustainable-equitable-transportation"</f>
        <v>0</v>
      </c>
      <c r="O198" s="114" t="s">
        <v>181</v>
      </c>
      <c r="P198" s="115" t="s">
        <v>521</v>
      </c>
      <c r="Q198" s="117" t="s">
        <v>182</v>
      </c>
      <c r="R198" s="265" t="s">
        <v>54</v>
      </c>
      <c r="S198" s="87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</row>
    <row r="199" spans="1:64" s="102" customFormat="1" ht="60" customHeight="1">
      <c r="A199" s="89" t="s">
        <v>617</v>
      </c>
      <c r="B199" s="90" t="s">
        <v>618</v>
      </c>
      <c r="C199" s="103">
        <f>"http://www.evs34.org.cn/"</f>
        <v>0</v>
      </c>
      <c r="D199" s="92" t="s">
        <v>619</v>
      </c>
      <c r="E199" s="93" t="s">
        <v>620</v>
      </c>
      <c r="F199" s="92" t="s">
        <v>621</v>
      </c>
      <c r="G199" s="94" t="s">
        <v>622</v>
      </c>
      <c r="H199" s="104"/>
      <c r="I199" s="96"/>
      <c r="J199" s="97"/>
      <c r="K199" s="98">
        <f>"http://www.evs34.org.cn/html/folder/21010982-1.htm"</f>
        <v>0</v>
      </c>
      <c r="L199" s="96">
        <f>"Abstracts:  http://www.evs34.org.cn/html/folder/20090496-1.htm"</f>
        <v>0</v>
      </c>
      <c r="M199" s="97">
        <f>"http://cespaper.evs34.org.cn/"</f>
        <v>0</v>
      </c>
      <c r="N199" s="98" t="s">
        <v>623</v>
      </c>
      <c r="O199" s="110" t="s">
        <v>146</v>
      </c>
      <c r="P199" s="92" t="s">
        <v>155</v>
      </c>
      <c r="Q199" s="156" t="s">
        <v>64</v>
      </c>
      <c r="R199" s="157" t="s">
        <v>65</v>
      </c>
      <c r="S199" s="87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</row>
    <row r="200" spans="1:64" s="102" customFormat="1" ht="60" customHeight="1">
      <c r="A200" s="89" t="s">
        <v>624</v>
      </c>
      <c r="B200" s="90" t="s">
        <v>625</v>
      </c>
      <c r="C200" s="103">
        <f>"https://www.cambridgeenertech.com/battery-safety"</f>
        <v>0</v>
      </c>
      <c r="D200" s="92"/>
      <c r="E200" s="93" t="s">
        <v>626</v>
      </c>
      <c r="F200" s="92" t="s">
        <v>627</v>
      </c>
      <c r="G200" s="94">
        <f>"&amp;hellip; Battery Safety to Meet Increasing Energy Demands"</f>
        <v>0</v>
      </c>
      <c r="H200" s="104"/>
      <c r="I200" s="96"/>
      <c r="J200" s="97"/>
      <c r="K200" s="98"/>
      <c r="L200" s="96">
        <f>"registration:  https://chidb.com/reg/bat/reg.asp"</f>
        <v>0</v>
      </c>
      <c r="M200" s="97"/>
      <c r="N200" s="98"/>
      <c r="O200" s="110" t="s">
        <v>243</v>
      </c>
      <c r="P200" s="92">
        <f>"https://www.cambridgeenertech.com/"</f>
        <v>0</v>
      </c>
      <c r="Q200" s="156" t="s">
        <v>64</v>
      </c>
      <c r="R200" s="157" t="s">
        <v>65</v>
      </c>
      <c r="S200" s="87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</row>
    <row r="201" spans="1:64" ht="61.5" customHeight="1">
      <c r="A201" s="89" t="s">
        <v>628</v>
      </c>
      <c r="B201" s="92" t="s">
        <v>629</v>
      </c>
      <c r="C201" s="103">
        <f>"http://www.ldia2021.com/"</f>
        <v>0</v>
      </c>
      <c r="D201" s="92" t="s">
        <v>630</v>
      </c>
      <c r="E201" s="93" t="s">
        <v>631</v>
      </c>
      <c r="F201" s="111" t="s">
        <v>632</v>
      </c>
      <c r="G201" s="94" t="s">
        <v>633</v>
      </c>
      <c r="H201" s="104"/>
      <c r="I201" s="96"/>
      <c r="J201" s="97"/>
      <c r="K201" s="98"/>
      <c r="L201" s="158">
        <f>"http://www.ldia2021.com/default.aspx?pageid=78"</f>
        <v>0</v>
      </c>
      <c r="M201" s="100">
        <f>"Download page:  http://www.ldia2021.com/upload/downs/2020123116351418.pdf"</f>
        <v>0</v>
      </c>
      <c r="N201" s="116" t="s">
        <v>634</v>
      </c>
      <c r="O201" s="106" t="s">
        <v>635</v>
      </c>
      <c r="P201" s="92">
        <f>"http://www2.iee.or.jp/~dld/ldia2.html"</f>
        <v>0</v>
      </c>
      <c r="Q201" s="107" t="s">
        <v>64</v>
      </c>
      <c r="R201" s="108" t="s">
        <v>65</v>
      </c>
      <c r="S201" s="87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</row>
    <row r="202" spans="1:64" s="102" customFormat="1" ht="62.25" customHeight="1">
      <c r="A202" s="197" t="s">
        <v>636</v>
      </c>
      <c r="B202" s="239" t="s">
        <v>637</v>
      </c>
      <c r="C202" s="103">
        <f>"https://takacoma.gitlab.io/tmi-educational-video-competition/"</f>
        <v>0</v>
      </c>
      <c r="D202" s="92"/>
      <c r="E202" s="93" t="s">
        <v>638</v>
      </c>
      <c r="F202" s="92" t="s">
        <v>639</v>
      </c>
      <c r="G202" s="94">
        <f>"&amp;hellip; educational video tutorials about mobility innovation in particular areas of intelligent vehicles."</f>
        <v>0</v>
      </c>
      <c r="H202" s="104" t="s">
        <v>640</v>
      </c>
      <c r="I202" s="96"/>
      <c r="J202" s="105"/>
      <c r="K202" s="98"/>
      <c r="L202" s="155"/>
      <c r="M202" s="155">
        <f>"https://easychair.org/account/signin?l=QSIlgdJD36di1dBRFDw2s2#"</f>
        <v>0</v>
      </c>
      <c r="N202" s="284" t="s">
        <v>641</v>
      </c>
      <c r="O202" s="106"/>
      <c r="P202" s="92"/>
      <c r="Q202" s="107"/>
      <c r="R202" s="108"/>
      <c r="S202" s="87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</row>
    <row r="203" spans="1:64" s="102" customFormat="1" ht="78" customHeight="1">
      <c r="A203" s="89" t="s">
        <v>642</v>
      </c>
      <c r="B203" s="90" t="s">
        <v>643</v>
      </c>
      <c r="C203" s="103">
        <f>"https://www.sae.org/learn/content/c1911/"</f>
        <v>0</v>
      </c>
      <c r="D203" s="92" t="s">
        <v>501</v>
      </c>
      <c r="E203" s="93" t="s">
        <v>644</v>
      </c>
      <c r="F203" s="92" t="s">
        <v>645</v>
      </c>
      <c r="G203" s="94">
        <f>"Cybersecurity has become one of the most critical issues in developing autonomous and connected vehicles &amp;hellip;"</f>
        <v>0</v>
      </c>
      <c r="H203" s="104" t="s">
        <v>646</v>
      </c>
      <c r="I203" s="96"/>
      <c r="J203" s="97"/>
      <c r="K203" s="98"/>
      <c r="L203" s="158" t="s">
        <v>647</v>
      </c>
      <c r="M203" s="159" t="s">
        <v>170</v>
      </c>
      <c r="N203" s="200"/>
      <c r="O203" s="106" t="s">
        <v>171</v>
      </c>
      <c r="P203" s="92" t="s">
        <v>172</v>
      </c>
      <c r="Q203" s="107" t="s">
        <v>64</v>
      </c>
      <c r="R203" s="108" t="s">
        <v>65</v>
      </c>
      <c r="S203" s="87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</row>
    <row r="204" spans="1:64" s="102" customFormat="1" ht="28.5" customHeight="1">
      <c r="A204" s="89" t="s">
        <v>648</v>
      </c>
      <c r="B204" s="90" t="s">
        <v>649</v>
      </c>
      <c r="C204" s="103">
        <f>"https://elink.clickdimensions.com/m/1/11743737/02-b21181-bdf4ad5098d74465b868e05dc65fe3ef/1/635/b195b3a3-aac8-4016-958d-90fbae1f1713"</f>
        <v>0</v>
      </c>
      <c r="D204" s="92"/>
      <c r="E204" s="93" t="s">
        <v>650</v>
      </c>
      <c r="F204" s="92" t="s">
        <v>651</v>
      </c>
      <c r="G204" s="94">
        <f>"&amp;hellip; we need public and private investments in innovative transportation solutions [and] to speed up building the infrastructure &amp;hellip; to support a net&amp;#8209zero economy."</f>
        <v>0</v>
      </c>
      <c r="H204" s="104">
        <f>"&lt;b&gt;Pete&amp;nbsp;Buttigieg&lt;/b&gt;, U.S. Sec&amp;rsquo;y of Transp."</f>
        <v>0</v>
      </c>
      <c r="I204" s="96"/>
      <c r="J204" s="105"/>
      <c r="K204" s="117"/>
      <c r="L204" s="106">
        <f>"registration:  http://bpcevents.cloudapp.net/Pages/Home.aspx?eventid={18A285A3-91D3-EB11-BACC-0022481EC4AF}&amp;_cldee=amFtZXMuam9yZGFuQGNveC5uZXQ%3d&amp;recipientid=contact-76c2b956e39ae111bc27001cc4aaea7e-25442c12ffe94c469ef11ed09395bf9a&amp;utm_source=ClickDimensi"</f>
        <v>0</v>
      </c>
      <c r="M204" s="106"/>
      <c r="N204" s="107"/>
      <c r="O204" s="106" t="s">
        <v>652</v>
      </c>
      <c r="P204" s="92">
        <f>"https://bipartisanpolicy.org/events/"</f>
        <v>0</v>
      </c>
      <c r="Q204" s="107" t="s">
        <v>53</v>
      </c>
      <c r="R204" s="118" t="s">
        <v>54</v>
      </c>
      <c r="S204" s="87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</row>
    <row r="205" spans="1:64" s="102" customFormat="1" ht="28.5" customHeight="1">
      <c r="A205" s="89"/>
      <c r="B205" s="90"/>
      <c r="C205" s="103"/>
      <c r="D205" s="92"/>
      <c r="E205" s="92"/>
      <c r="F205" s="92"/>
      <c r="G205" s="94"/>
      <c r="H205" s="104">
        <f>"Panelists:&amp;nbsp; &lt;b&gt;Liz&amp;nbsp;Shuler&lt;/b&gt;, Sec&amp;rsquo;y-Treas., AFL&amp;#8209;CIO"</f>
        <v>0</v>
      </c>
      <c r="I205" s="96"/>
      <c r="J205" s="105"/>
      <c r="K205" s="117"/>
      <c r="L205" s="106"/>
      <c r="M205" s="106"/>
      <c r="N205" s="107"/>
      <c r="O205" s="106"/>
      <c r="P205" s="92"/>
      <c r="Q205" s="107"/>
      <c r="R205" s="118"/>
      <c r="S205" s="87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</row>
    <row r="206" spans="1:64" s="102" customFormat="1" ht="28.5" customHeight="1">
      <c r="A206" s="89"/>
      <c r="B206" s="90"/>
      <c r="C206" s="103"/>
      <c r="D206" s="92"/>
      <c r="E206" s="92"/>
      <c r="F206" s="92"/>
      <c r="G206" s="94"/>
      <c r="H206" s="104">
        <f>"&lt;b&gt;Robert&amp;nbsp;Blue&lt;/b&gt;, Chair, Pres. &amp; CEO, Dominion&amp;nbsp;Energy"</f>
        <v>0</v>
      </c>
      <c r="I206" s="96"/>
      <c r="J206" s="105"/>
      <c r="K206" s="117"/>
      <c r="L206" s="106"/>
      <c r="M206" s="106"/>
      <c r="N206" s="107"/>
      <c r="O206" s="106"/>
      <c r="P206" s="92"/>
      <c r="Q206" s="107"/>
      <c r="R206" s="118"/>
      <c r="S206" s="87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</row>
    <row r="207" spans="1:64" s="102" customFormat="1" ht="28.5" customHeight="1">
      <c r="A207" s="89"/>
      <c r="B207" s="90"/>
      <c r="C207" s="103"/>
      <c r="D207" s="92"/>
      <c r="E207" s="92"/>
      <c r="F207" s="92"/>
      <c r="G207" s="94"/>
      <c r="H207" s="104">
        <f>"&lt;b&gt;Toby&amp;nbsp;Rice&lt;/b&gt;, Pres. &amp; CEO, EQT"</f>
        <v>0</v>
      </c>
      <c r="I207" s="96"/>
      <c r="J207" s="105"/>
      <c r="K207" s="117"/>
      <c r="L207" s="106"/>
      <c r="M207" s="106"/>
      <c r="N207" s="107"/>
      <c r="O207" s="106"/>
      <c r="P207" s="92"/>
      <c r="Q207" s="107"/>
      <c r="R207" s="118"/>
      <c r="S207" s="87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</row>
    <row r="208" spans="1:19" s="102" customFormat="1" ht="51" customHeight="1">
      <c r="A208" s="89" t="s">
        <v>653</v>
      </c>
      <c r="B208" s="90" t="s">
        <v>654</v>
      </c>
      <c r="C208" s="103">
        <f>"https://www.sae.org/learn/content/c1615/"</f>
        <v>0</v>
      </c>
      <c r="D208" s="92" t="s">
        <v>501</v>
      </c>
      <c r="E208" s="93" t="s">
        <v>655</v>
      </c>
      <c r="F208" s="92" t="s">
        <v>656</v>
      </c>
      <c r="G208" s="94" t="s">
        <v>657</v>
      </c>
      <c r="H208" s="104" t="s">
        <v>658</v>
      </c>
      <c r="I208" s="96"/>
      <c r="J208" s="97"/>
      <c r="K208" s="117"/>
      <c r="L208" s="99" t="s">
        <v>473</v>
      </c>
      <c r="M208" s="285" t="s">
        <v>311</v>
      </c>
      <c r="N208" s="286"/>
      <c r="O208" s="106" t="s">
        <v>171</v>
      </c>
      <c r="P208" s="92">
        <f>"https://www.sae.org/learn/professional-development"</f>
        <v>0</v>
      </c>
      <c r="Q208" s="107" t="s">
        <v>64</v>
      </c>
      <c r="R208" s="108" t="s">
        <v>65</v>
      </c>
      <c r="S208" s="140"/>
    </row>
    <row r="209" spans="1:64" s="102" customFormat="1" ht="55.5" customHeight="1">
      <c r="A209" s="89" t="s">
        <v>659</v>
      </c>
      <c r="B209" s="90" t="s">
        <v>660</v>
      </c>
      <c r="C209" s="103">
        <f>"https://teslasciencecenter.org/events/tesla-birthday-expo-2021/"</f>
        <v>0</v>
      </c>
      <c r="D209" s="92" t="s">
        <v>661</v>
      </c>
      <c r="E209" s="93" t="s">
        <v>662</v>
      </c>
      <c r="F209" s="92" t="s">
        <v>663</v>
      </c>
      <c r="G209" s="94"/>
      <c r="H209" s="287" t="s">
        <v>664</v>
      </c>
      <c r="I209" s="287"/>
      <c r="J209" s="287"/>
      <c r="K209" s="287"/>
      <c r="L209" s="288">
        <f>"Registration page:  https://teslasciencecenter.org/events/tesla-birthday-expo-2021/"</f>
        <v>0</v>
      </c>
      <c r="M209" s="289"/>
      <c r="N209" s="289"/>
      <c r="O209" s="106" t="s">
        <v>665</v>
      </c>
      <c r="P209" s="92">
        <f>"https://teslasciencecenter.org/events/"</f>
        <v>0</v>
      </c>
      <c r="Q209" s="107" t="s">
        <v>439</v>
      </c>
      <c r="R209" s="118" t="s">
        <v>54</v>
      </c>
      <c r="S209" s="87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</row>
    <row r="210" spans="1:64" s="102" customFormat="1" ht="41.25" customHeight="1">
      <c r="A210" s="89" t="s">
        <v>666</v>
      </c>
      <c r="B210" s="90" t="s">
        <v>667</v>
      </c>
      <c r="C210" s="103"/>
      <c r="D210" s="92"/>
      <c r="E210" s="93" t="s">
        <v>668</v>
      </c>
      <c r="F210" s="92" t="s">
        <v>669</v>
      </c>
      <c r="G210" s="290"/>
      <c r="H210" s="287" t="s">
        <v>670</v>
      </c>
      <c r="I210" s="287"/>
      <c r="J210" s="287"/>
      <c r="K210" s="287"/>
      <c r="L210" s="288">
        <f>"Become a Member:  https://teslasciencecenter.org/become-a-member/"</f>
        <v>0</v>
      </c>
      <c r="M210" s="289"/>
      <c r="N210" s="289"/>
      <c r="O210" s="106"/>
      <c r="P210" s="92"/>
      <c r="Q210" s="107"/>
      <c r="R210" s="118"/>
      <c r="S210" s="87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</row>
    <row r="211" spans="1:64" s="102" customFormat="1" ht="53.25" customHeight="1">
      <c r="A211" s="89" t="s">
        <v>671</v>
      </c>
      <c r="B211" s="90" t="s">
        <v>672</v>
      </c>
      <c r="C211" s="103">
        <f>"https://2021.ieee-iv.org/"</f>
        <v>0</v>
      </c>
      <c r="D211" s="92" t="s">
        <v>673</v>
      </c>
      <c r="E211" s="93" t="s">
        <v>674</v>
      </c>
      <c r="F211" s="92" t="s">
        <v>675</v>
      </c>
      <c r="G211" s="94">
        <f>"&amp;hellip; all aspects of intelligent vehicles  &amp;hellip;"</f>
        <v>0</v>
      </c>
      <c r="H211" s="104"/>
      <c r="I211" s="96"/>
      <c r="J211" s="105"/>
      <c r="K211" s="98">
        <f>"mailto:iv21@intergroup.co.jp"</f>
        <v>0</v>
      </c>
      <c r="L211" s="106">
        <f>"IV Symposium:  https://2021.ieee-iv.org/wp-content/themes/stinger8-child/images/IV21_CallFP.pdf"</f>
        <v>0</v>
      </c>
      <c r="M211" s="92"/>
      <c r="N211" s="107" t="s">
        <v>676</v>
      </c>
      <c r="O211" s="106" t="s">
        <v>394</v>
      </c>
      <c r="P211" s="92" t="s">
        <v>395</v>
      </c>
      <c r="Q211" s="107" t="s">
        <v>64</v>
      </c>
      <c r="R211" s="108" t="s">
        <v>65</v>
      </c>
      <c r="S211" s="87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</row>
    <row r="212" spans="1:64" s="102" customFormat="1" ht="42" customHeight="1">
      <c r="A212" s="89"/>
      <c r="B212" s="90"/>
      <c r="C212" s="103"/>
      <c r="D212" s="92"/>
      <c r="E212" s="93"/>
      <c r="F212" s="92"/>
      <c r="G212" s="94"/>
      <c r="H212" s="104"/>
      <c r="I212" s="96"/>
      <c r="J212" s="105"/>
      <c r="K212" s="98">
        <f>"https://2021.ieee-iv.org/contact-us/"</f>
        <v>0</v>
      </c>
      <c r="L212" s="106">
        <f>"Call for Workshop/Tutorial Proposals:  https://2021.ieee-iv.org/wp-content/themes/stinger8-child/images/IV2021-CFP-workshop.pdf"</f>
        <v>0</v>
      </c>
      <c r="M212" s="92">
        <f>"Submission portal:  https://its.papercept.net/conferences/scripts/start.pl"</f>
        <v>0</v>
      </c>
      <c r="N212" s="107" t="s">
        <v>677</v>
      </c>
      <c r="O212" s="106"/>
      <c r="P212" s="92"/>
      <c r="Q212" s="107"/>
      <c r="R212" s="108"/>
      <c r="S212" s="87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</row>
    <row r="213" spans="1:64" s="102" customFormat="1" ht="58.5" customHeight="1">
      <c r="A213" s="89"/>
      <c r="B213" s="90"/>
      <c r="C213" s="103"/>
      <c r="D213" s="92"/>
      <c r="E213" s="93" t="s">
        <v>678</v>
      </c>
      <c r="F213" s="92"/>
      <c r="G213" s="94"/>
      <c r="H213" s="104"/>
      <c r="I213" s="96"/>
      <c r="J213" s="105"/>
      <c r="K213" s="98"/>
      <c r="L213" s="106" t="s">
        <v>679</v>
      </c>
      <c r="M213" s="92"/>
      <c r="N213" s="107" t="s">
        <v>680</v>
      </c>
      <c r="O213" s="106"/>
      <c r="P213" s="92"/>
      <c r="Q213" s="107"/>
      <c r="R213" s="108"/>
      <c r="S213" s="87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</row>
    <row r="214" spans="1:64" s="102" customFormat="1" ht="66.75" customHeight="1">
      <c r="A214" s="89">
        <f>"IEEE TEC Prize Ph.D. Thesis Talk &amp;ndash; 3-Min. Ph.D. Challenge (Award Ceremony)"</f>
        <v>0</v>
      </c>
      <c r="B214" s="90" t="s">
        <v>681</v>
      </c>
      <c r="C214" s="103">
        <f>"https://tec.ieee.org/education/ieee-tec-prize-ph-d-thesis-talk-3-min-phd-challenge"</f>
        <v>0</v>
      </c>
      <c r="D214" s="92"/>
      <c r="E214" s="92">
        <f>"Awared Ceremony:&amp;nbsp; Sometime in July"</f>
        <v>0</v>
      </c>
      <c r="F214" s="92" t="s">
        <v>682</v>
      </c>
      <c r="G214" s="94">
        <f>"&amp;hellip; an international platform for all Ph.D. researchers in the field of Transportation Electrification to present their project[s]."</f>
        <v>0</v>
      </c>
      <c r="H214" s="104">
        <f>"&lt;b&gt;Eric&amp;nbsp;Cheng&lt;/b&gt; is Education Committee Chair, IEEE&amp;nbsp;TEC"</f>
        <v>0</v>
      </c>
      <c r="I214" s="96"/>
      <c r="J214" s="105"/>
      <c r="K214" s="117">
        <f>"Guidelines:  https://tec.ieee.org/images/files/pdf/3min_TalksWriteUp_Nov2020_11-16-2020.pdf"</f>
        <v>0</v>
      </c>
      <c r="L214" s="106">
        <f>"Submit video: https://services10.ieee.org/idp/startSSO.ping?PartnerSpId=OpenWaterIEEE"</f>
        <v>0</v>
      </c>
      <c r="M214" s="92"/>
      <c r="N214" s="107" t="s">
        <v>683</v>
      </c>
      <c r="O214" s="106" t="s">
        <v>610</v>
      </c>
      <c r="P214" s="92">
        <f>"https://tec.ieee.org/newsletter"</f>
        <v>0</v>
      </c>
      <c r="Q214" s="107" t="s">
        <v>53</v>
      </c>
      <c r="R214" s="118" t="s">
        <v>54</v>
      </c>
      <c r="S214" s="87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</row>
    <row r="215" spans="1:64" s="102" customFormat="1" ht="30" customHeight="1">
      <c r="A215" s="89" t="s">
        <v>684</v>
      </c>
      <c r="B215" s="90" t="s">
        <v>685</v>
      </c>
      <c r="C215" s="103">
        <f>"https://plugvolt.com/seminars/"</f>
        <v>0</v>
      </c>
      <c r="D215" s="92" t="s">
        <v>686</v>
      </c>
      <c r="E215" s="93" t="s">
        <v>687</v>
      </c>
      <c r="F215" s="92" t="s">
        <v>688</v>
      </c>
      <c r="G215" s="94" t="s">
        <v>689</v>
      </c>
      <c r="H215" s="104"/>
      <c r="I215" s="209"/>
      <c r="J215" s="267"/>
      <c r="K215" s="211"/>
      <c r="L215" s="113" t="s">
        <v>690</v>
      </c>
      <c r="M215" s="100" t="s">
        <v>691</v>
      </c>
      <c r="N215" s="100"/>
      <c r="O215" s="110" t="s">
        <v>83</v>
      </c>
      <c r="P215" s="92" t="s">
        <v>692</v>
      </c>
      <c r="Q215" s="156" t="s">
        <v>64</v>
      </c>
      <c r="R215" s="157" t="s">
        <v>65</v>
      </c>
      <c r="S215" s="87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</row>
    <row r="216" spans="1:64" ht="27" customHeight="1">
      <c r="A216" s="89"/>
      <c r="B216" s="90"/>
      <c r="C216" s="103"/>
      <c r="D216" s="92"/>
      <c r="E216" s="92"/>
      <c r="F216" s="92"/>
      <c r="G216" s="94"/>
      <c r="H216" s="104"/>
      <c r="I216" s="209"/>
      <c r="J216" s="267"/>
      <c r="K216" s="211"/>
      <c r="L216" s="113" t="s">
        <v>693</v>
      </c>
      <c r="M216" s="100" t="s">
        <v>694</v>
      </c>
      <c r="N216" s="100"/>
      <c r="O216" s="110"/>
      <c r="P216" s="128">
        <f>"http://plugvolt.com/seminars/"</f>
        <v>0</v>
      </c>
      <c r="Q216" s="156"/>
      <c r="R216" s="157"/>
      <c r="S216" s="87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</row>
    <row r="217" spans="1:64" ht="39" customHeight="1">
      <c r="A217" s="89"/>
      <c r="B217" s="90"/>
      <c r="C217" s="103"/>
      <c r="D217" s="92"/>
      <c r="E217" s="92"/>
      <c r="F217" s="128" t="s">
        <v>695</v>
      </c>
      <c r="G217" s="94"/>
      <c r="H217" s="104"/>
      <c r="I217" s="209"/>
      <c r="J217" s="267"/>
      <c r="K217" s="211"/>
      <c r="L217" s="113" t="s">
        <v>696</v>
      </c>
      <c r="M217" s="100">
        <f>"Agenda:  https://plugvolt.com/seminars/wp-content/uploads/2020/08/PlugVolt-Battery-Seminar-2021-Program-Agenda-Rev2.pdf"</f>
        <v>0</v>
      </c>
      <c r="N217" s="100"/>
      <c r="O217" s="110"/>
      <c r="P217" s="128"/>
      <c r="Q217" s="156"/>
      <c r="R217" s="157"/>
      <c r="S217" s="87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</row>
    <row r="218" spans="1:64" s="102" customFormat="1" ht="63.75" customHeight="1">
      <c r="A218" s="89" t="s">
        <v>697</v>
      </c>
      <c r="B218" s="90" t="s">
        <v>698</v>
      </c>
      <c r="C218" s="103">
        <f>"https://event.webcasts.com/starthere.jsp?ei=1468998&amp;tp_key=12638cd009&amp;sti=sponsor4"</f>
        <v>0</v>
      </c>
      <c r="D218" s="92"/>
      <c r="E218" s="93" t="s">
        <v>699</v>
      </c>
      <c r="F218" s="92" t="s">
        <v>700</v>
      </c>
      <c r="G218" s="94">
        <f>"New technologies are placing greater demands on motors in terms of operating speeds, temperatures, and efficiencies."</f>
        <v>0</v>
      </c>
      <c r="H218" s="104">
        <f>"Speaker:&amp;nbsp; &lt;b&gt;Keagan&amp;nbsp,Aukerman&lt;/b&gt;, bus. devel. mgr, ramco elec.&amp;nbsp,motors"</f>
        <v>0</v>
      </c>
      <c r="I218" s="96"/>
      <c r="J218" s="267"/>
      <c r="K218" s="211"/>
      <c r="L218" s="291"/>
      <c r="M218" s="292"/>
      <c r="N218" s="100"/>
      <c r="O218" s="110" t="s">
        <v>226</v>
      </c>
      <c r="P218" s="92" t="s">
        <v>227</v>
      </c>
      <c r="Q218" s="156" t="s">
        <v>64</v>
      </c>
      <c r="R218" s="157" t="s">
        <v>65</v>
      </c>
      <c r="S218" s="87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</row>
    <row r="219" spans="1:64" s="102" customFormat="1" ht="67.5" customHeight="1">
      <c r="A219" s="89"/>
      <c r="B219" s="90"/>
      <c r="C219" s="103">
        <f>"https://www.arnoldmagnetics.com/event/webinar-auto-aero-and-defense-electrification/"</f>
        <v>0</v>
      </c>
      <c r="D219" s="92"/>
      <c r="E219" s="92"/>
      <c r="F219" s="92"/>
      <c r="G219" s="94"/>
      <c r="H219" s="104">
        <f>"Moderator:&amp;nbsp; &lt;b&gt;Bruce&amp;nbsp;Bennett&lt;/b&gt;, Tech&amp;nbsp;Briefs"</f>
        <v>0</v>
      </c>
      <c r="I219" s="96"/>
      <c r="J219" s="267"/>
      <c r="K219" s="211"/>
      <c r="L219" s="291"/>
      <c r="M219" s="292"/>
      <c r="N219" s="100"/>
      <c r="O219" s="110"/>
      <c r="P219" s="92"/>
      <c r="Q219" s="156"/>
      <c r="R219" s="157"/>
      <c r="S219" s="87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</row>
    <row r="220" spans="1:64" s="296" customFormat="1" ht="39.75" customHeight="1">
      <c r="A220" s="89" t="s">
        <v>701</v>
      </c>
      <c r="B220" s="90" t="s">
        <v>702</v>
      </c>
      <c r="C220" s="103">
        <f>"https://myemail.constantcontact.com/CHBC-Briefing---The-Business-Case--for-Light-Duty-Hydrogen-Stations---July-15--10-AM-PT.html?soid=1128553201757&amp;aid=WfbtTP6gnxg"</f>
        <v>0</v>
      </c>
      <c r="D220" s="293"/>
      <c r="E220" s="93" t="s">
        <v>703</v>
      </c>
      <c r="F220" s="92" t="s">
        <v>704</v>
      </c>
      <c r="G220" s="94" t="s">
        <v>705</v>
      </c>
      <c r="H220" s="104">
        <f>"&lt;b&gt;Gia&amp;nbsp;Brazil&amp;nbsp;Vacin&lt;/b&gt;, Ass&amp;rsquo;t Dep. Dir., Governor&amp;rsquo;s Ofc. of Bus. &amp; Econ. Devel."</f>
        <v>0</v>
      </c>
      <c r="I220" s="96"/>
      <c r="J220" s="97"/>
      <c r="K220" s="98"/>
      <c r="L220" s="113">
        <f>"registration:  https://register.gotowebinar.com/register/1024113033807062799"</f>
        <v>0</v>
      </c>
      <c r="M220" s="100"/>
      <c r="N220" s="100"/>
      <c r="O220" s="110" t="s">
        <v>706</v>
      </c>
      <c r="P220" s="92">
        <f>"https://www.californiahydrogen.org/"</f>
        <v>0</v>
      </c>
      <c r="Q220" s="156" t="s">
        <v>64</v>
      </c>
      <c r="R220" s="157" t="s">
        <v>65</v>
      </c>
      <c r="S220" s="294"/>
      <c r="T220" s="295"/>
      <c r="U220" s="295"/>
      <c r="V220" s="295"/>
      <c r="W220" s="295"/>
      <c r="X220" s="295"/>
      <c r="Y220" s="295"/>
      <c r="Z220" s="295"/>
      <c r="AA220" s="295"/>
      <c r="AB220" s="295"/>
      <c r="AC220" s="295"/>
      <c r="AD220" s="295"/>
      <c r="AE220" s="295"/>
      <c r="AF220" s="295"/>
      <c r="AG220" s="295"/>
      <c r="AH220" s="295"/>
      <c r="AI220" s="295"/>
      <c r="AJ220" s="295"/>
      <c r="AK220" s="295"/>
      <c r="AL220" s="295"/>
      <c r="AM220" s="295"/>
      <c r="AN220" s="295"/>
      <c r="AO220" s="295"/>
      <c r="AP220" s="295"/>
      <c r="AQ220" s="295"/>
      <c r="AR220" s="295"/>
      <c r="AS220" s="295"/>
      <c r="AT220" s="295"/>
      <c r="AU220" s="295"/>
      <c r="AV220" s="295"/>
      <c r="AW220" s="295"/>
      <c r="AX220" s="295"/>
      <c r="AY220" s="295"/>
      <c r="AZ220" s="295"/>
      <c r="BA220" s="295"/>
      <c r="BB220" s="295"/>
      <c r="BC220" s="295"/>
      <c r="BD220" s="295"/>
      <c r="BE220" s="295"/>
      <c r="BF220" s="295"/>
      <c r="BG220" s="295"/>
      <c r="BH220" s="295"/>
      <c r="BI220" s="295"/>
      <c r="BJ220" s="295"/>
      <c r="BK220" s="295"/>
      <c r="BL220" s="295"/>
    </row>
    <row r="221" spans="1:64" s="296" customFormat="1" ht="39.75" customHeight="1">
      <c r="A221" s="89"/>
      <c r="B221" s="90"/>
      <c r="C221" s="103"/>
      <c r="D221" s="293"/>
      <c r="E221" s="293"/>
      <c r="F221" s="293"/>
      <c r="G221" s="94"/>
      <c r="H221" s="104">
        <f>"Dr.&amp;nbsp;&lt;b&gt;Andrew&amp;nbsp;Martinez&lt;/b&gt;, Air Pol. Spec., California Air Resources Board (CARB)"</f>
        <v>0</v>
      </c>
      <c r="I221" s="96"/>
      <c r="J221" s="97"/>
      <c r="K221" s="98"/>
      <c r="L221" s="113"/>
      <c r="M221" s="100"/>
      <c r="N221" s="100"/>
      <c r="O221" s="110"/>
      <c r="P221" s="92"/>
      <c r="Q221" s="156"/>
      <c r="R221" s="157"/>
      <c r="S221" s="294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5"/>
      <c r="AG221" s="295"/>
      <c r="AH221" s="295"/>
      <c r="AI221" s="295"/>
      <c r="AJ221" s="295"/>
      <c r="AK221" s="295"/>
      <c r="AL221" s="295"/>
      <c r="AM221" s="295"/>
      <c r="AN221" s="295"/>
      <c r="AO221" s="295"/>
      <c r="AP221" s="295"/>
      <c r="AQ221" s="295"/>
      <c r="AR221" s="295"/>
      <c r="AS221" s="295"/>
      <c r="AT221" s="295"/>
      <c r="AU221" s="295"/>
      <c r="AV221" s="295"/>
      <c r="AW221" s="295"/>
      <c r="AX221" s="295"/>
      <c r="AY221" s="295"/>
      <c r="AZ221" s="295"/>
      <c r="BA221" s="295"/>
      <c r="BB221" s="295"/>
      <c r="BC221" s="295"/>
      <c r="BD221" s="295"/>
      <c r="BE221" s="295"/>
      <c r="BF221" s="295"/>
      <c r="BG221" s="295"/>
      <c r="BH221" s="295"/>
      <c r="BI221" s="295"/>
      <c r="BJ221" s="295"/>
      <c r="BK221" s="295"/>
      <c r="BL221" s="295"/>
    </row>
    <row r="222" spans="1:64" s="296" customFormat="1" ht="28.5" customHeight="1">
      <c r="A222" s="89"/>
      <c r="B222" s="90"/>
      <c r="C222" s="103"/>
      <c r="D222" s="293"/>
      <c r="E222" s="293"/>
      <c r="F222" s="293"/>
      <c r="G222" s="94"/>
      <c r="H222" s="104">
        <f>"&lt;b&gt;Steve&amp;nbsp;Ellis&lt;/b&gt;, First Element Fuel"</f>
        <v>0</v>
      </c>
      <c r="I222" s="96"/>
      <c r="J222" s="97"/>
      <c r="K222" s="98"/>
      <c r="L222" s="113"/>
      <c r="M222" s="100"/>
      <c r="N222" s="100"/>
      <c r="O222" s="110"/>
      <c r="P222" s="92"/>
      <c r="Q222" s="156"/>
      <c r="R222" s="157"/>
      <c r="S222" s="294"/>
      <c r="T222" s="295"/>
      <c r="U222" s="295"/>
      <c r="V222" s="295"/>
      <c r="W222" s="295"/>
      <c r="X222" s="295"/>
      <c r="Y222" s="295"/>
      <c r="Z222" s="295"/>
      <c r="AA222" s="295"/>
      <c r="AB222" s="295"/>
      <c r="AC222" s="295"/>
      <c r="AD222" s="295"/>
      <c r="AE222" s="295"/>
      <c r="AF222" s="295"/>
      <c r="AG222" s="295"/>
      <c r="AH222" s="295"/>
      <c r="AI222" s="295"/>
      <c r="AJ222" s="295"/>
      <c r="AK222" s="295"/>
      <c r="AL222" s="295"/>
      <c r="AM222" s="295"/>
      <c r="AN222" s="295"/>
      <c r="AO222" s="295"/>
      <c r="AP222" s="295"/>
      <c r="AQ222" s="295"/>
      <c r="AR222" s="295"/>
      <c r="AS222" s="295"/>
      <c r="AT222" s="295"/>
      <c r="AU222" s="295"/>
      <c r="AV222" s="295"/>
      <c r="AW222" s="295"/>
      <c r="AX222" s="295"/>
      <c r="AY222" s="295"/>
      <c r="AZ222" s="295"/>
      <c r="BA222" s="295"/>
      <c r="BB222" s="295"/>
      <c r="BC222" s="295"/>
      <c r="BD222" s="295"/>
      <c r="BE222" s="295"/>
      <c r="BF222" s="295"/>
      <c r="BG222" s="295"/>
      <c r="BH222" s="295"/>
      <c r="BI222" s="295"/>
      <c r="BJ222" s="295"/>
      <c r="BK222" s="295"/>
      <c r="BL222" s="295"/>
    </row>
    <row r="223" spans="1:64" s="102" customFormat="1" ht="28.5" customHeight="1">
      <c r="A223" s="89"/>
      <c r="B223" s="90"/>
      <c r="C223" s="103">
        <f>"alt. link:  https://m.cafcp.org/content/chbc-briefing-business-case-light-duty-hydrogen-stations"</f>
        <v>0</v>
      </c>
      <c r="D223" s="293"/>
      <c r="E223" s="293"/>
      <c r="F223" s="128" t="s">
        <v>707</v>
      </c>
      <c r="G223" s="94"/>
      <c r="H223" s="104">
        <f>"&lt;b&gt; Salim&amp;nbsp;Rahemtulla&lt;/b&gt;, Pres., PowerTap Hydrogen"</f>
        <v>0</v>
      </c>
      <c r="I223" s="96"/>
      <c r="J223" s="97"/>
      <c r="K223" s="98"/>
      <c r="L223" s="113"/>
      <c r="M223" s="100"/>
      <c r="N223" s="100"/>
      <c r="O223" s="110" t="s">
        <v>708</v>
      </c>
      <c r="P223" s="92" t="s">
        <v>709</v>
      </c>
      <c r="Q223" s="156"/>
      <c r="R223" s="157"/>
      <c r="S223" s="87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</row>
    <row r="224" spans="1:64" s="102" customFormat="1" ht="28.5" customHeight="1">
      <c r="A224" s="89"/>
      <c r="B224" s="90"/>
      <c r="C224" s="103"/>
      <c r="D224" s="293"/>
      <c r="E224" s="293"/>
      <c r="F224" s="128"/>
      <c r="G224" s="94"/>
      <c r="H224" s="104">
        <f>"&lt;b&gt; Al&amp;nbsp;Burgunder&lt;/b&gt;, Dir., Prod. Managem&amp;rsquo; Linde US "</f>
        <v>0</v>
      </c>
      <c r="I224" s="96"/>
      <c r="J224" s="97"/>
      <c r="K224" s="98"/>
      <c r="L224" s="113"/>
      <c r="M224" s="100"/>
      <c r="N224" s="100"/>
      <c r="O224" s="110"/>
      <c r="P224" s="92"/>
      <c r="Q224" s="156"/>
      <c r="R224" s="157"/>
      <c r="S224" s="87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</row>
    <row r="225" spans="1:64" s="102" customFormat="1" ht="28.5" customHeight="1">
      <c r="A225" s="89"/>
      <c r="B225" s="90"/>
      <c r="C225" s="103"/>
      <c r="D225" s="293"/>
      <c r="E225" s="293"/>
      <c r="F225" s="128"/>
      <c r="G225" s="94"/>
      <c r="H225" s="104">
        <f>"&lt;b&gt; Bill&amp;nbsp;Zobel&lt;/b&gt;, Exe. Dir., Calif. Hydrogen Bus.&amp;nbsp;Council"</f>
        <v>0</v>
      </c>
      <c r="I225" s="96"/>
      <c r="J225" s="97"/>
      <c r="K225" s="98"/>
      <c r="L225" s="113"/>
      <c r="M225" s="100"/>
      <c r="N225" s="100"/>
      <c r="O225" s="110"/>
      <c r="P225" s="92"/>
      <c r="Q225" s="156"/>
      <c r="R225" s="157"/>
      <c r="S225" s="87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</row>
    <row r="226" spans="1:64" s="102" customFormat="1" ht="54.75" customHeight="1">
      <c r="A226" s="89">
        <f>"Free Virtual Event:&amp;nbsp; The Northeast Rail Initiative &amp;ndash; Bob Yaro, North Atlantic Rail Alliance"</f>
        <v>0</v>
      </c>
      <c r="B226" s="90" t="s">
        <v>710</v>
      </c>
      <c r="C226" s="103">
        <f>"https://limba.net/calendar/virtual-event-the-northeast-rail-initiative-bob-yaro-north-atlantic-rail-alliance/"</f>
        <v>0</v>
      </c>
      <c r="D226" s="92"/>
      <c r="E226" s="93" t="s">
        <v>711</v>
      </c>
      <c r="F226" s="92" t="s">
        <v>712</v>
      </c>
      <c r="G226" s="94"/>
      <c r="H226" s="104">
        <f>"Speaker:  &lt;b&gt;Bob Yaro&lt;/b&gt;, Pres., North Atlantic Rail Alliance"</f>
        <v>0</v>
      </c>
      <c r="I226" s="96"/>
      <c r="J226" s="105"/>
      <c r="K226" s="98"/>
      <c r="L226" s="106">
        <f>"registration:  https://us06web.zoom.us/meeting/register/tZYkduGqrzwsHNzDj3NuXcaS0NjsiZiXtwAC"</f>
        <v>0</v>
      </c>
      <c r="M226" s="92"/>
      <c r="N226" s="107"/>
      <c r="O226" s="106">
        <f>"LIMBA:  Long Island Metroplitan Business Action"</f>
        <v>0</v>
      </c>
      <c r="P226" s="92">
        <f>"https://limba.net/"</f>
        <v>0</v>
      </c>
      <c r="Q226" s="107" t="s">
        <v>207</v>
      </c>
      <c r="R226" s="118" t="s">
        <v>54</v>
      </c>
      <c r="S226" s="87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</row>
    <row r="227" spans="1:64" s="102" customFormat="1" ht="32.25" customHeight="1">
      <c r="A227" s="89"/>
      <c r="B227" s="90"/>
      <c r="C227" s="103"/>
      <c r="D227" s="92"/>
      <c r="E227" s="93"/>
      <c r="F227" s="92"/>
      <c r="G227" s="94"/>
      <c r="H227" s="104">
        <f>"Host: &lt;b&gt;Ernie&amp;nbsp;Fazio&lt;/b&gt;, LIMBA"</f>
        <v>0</v>
      </c>
      <c r="I227" s="96"/>
      <c r="J227" s="105"/>
      <c r="K227" s="98"/>
      <c r="L227" s="106"/>
      <c r="M227" s="92"/>
      <c r="N227" s="107"/>
      <c r="O227" s="106"/>
      <c r="P227" s="92"/>
      <c r="Q227" s="107"/>
      <c r="R227" s="118"/>
      <c r="S227" s="87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</row>
    <row r="228" spans="1:64" s="102" customFormat="1" ht="52.5" customHeight="1">
      <c r="A228" s="89" t="s">
        <v>370</v>
      </c>
      <c r="B228" s="90" t="s">
        <v>713</v>
      </c>
      <c r="C228" s="103">
        <f>"https://www.sae.org/learn/content/c2001/"</f>
        <v>0</v>
      </c>
      <c r="D228" s="92" t="s">
        <v>581</v>
      </c>
      <c r="E228" s="93" t="s">
        <v>714</v>
      </c>
      <c r="F228" s="92" t="s">
        <v>374</v>
      </c>
      <c r="G228" s="94" t="s">
        <v>375</v>
      </c>
      <c r="H228" s="104" t="s">
        <v>376</v>
      </c>
      <c r="I228" s="96"/>
      <c r="J228" s="105"/>
      <c r="K228" s="98"/>
      <c r="L228" s="113" t="s">
        <v>169</v>
      </c>
      <c r="M228" s="159" t="s">
        <v>170</v>
      </c>
      <c r="N228" s="200">
        <f>"Instructor: Yves Racette"</f>
        <v>0</v>
      </c>
      <c r="O228" s="106" t="s">
        <v>171</v>
      </c>
      <c r="P228" s="92">
        <f>"https://www.sae.org/learn/professional-development"</f>
        <v>0</v>
      </c>
      <c r="Q228" s="107" t="s">
        <v>64</v>
      </c>
      <c r="R228" s="108" t="s">
        <v>65</v>
      </c>
      <c r="S228" s="87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</row>
    <row r="229" spans="1:64" s="102" customFormat="1" ht="60" customHeight="1">
      <c r="A229" s="89" t="s">
        <v>715</v>
      </c>
      <c r="B229" s="90" t="s">
        <v>716</v>
      </c>
      <c r="C229" s="103">
        <f>"https://www.bagevent.com/event/sae-acc2021en"</f>
        <v>0</v>
      </c>
      <c r="D229" s="92" t="s">
        <v>501</v>
      </c>
      <c r="E229" s="93" t="s">
        <v>717</v>
      </c>
      <c r="F229" s="92" t="s">
        <v>718</v>
      </c>
      <c r="G229" s="94">
        <f>"&amp;hellip; overall digital architecture for the next generation of intelligent vehicles &amp;hellip;"</f>
        <v>0</v>
      </c>
      <c r="H229" s="213"/>
      <c r="I229" s="96"/>
      <c r="J229" s="97"/>
      <c r="K229" s="98"/>
      <c r="L229" s="158"/>
      <c r="M229" s="159"/>
      <c r="N229" s="200"/>
      <c r="O229" s="106" t="s">
        <v>51</v>
      </c>
      <c r="P229" s="92" t="s">
        <v>52</v>
      </c>
      <c r="Q229" s="107" t="s">
        <v>53</v>
      </c>
      <c r="R229" s="118" t="s">
        <v>54</v>
      </c>
      <c r="S229" s="87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</row>
    <row r="230" spans="1:64" s="102" customFormat="1" ht="88.5" customHeight="1">
      <c r="A230" s="89" t="s">
        <v>719</v>
      </c>
      <c r="B230" s="92" t="s">
        <v>720</v>
      </c>
      <c r="C230" s="92">
        <f>"https://www.volpe.dot.gov/events/marilyn-brown"</f>
        <v>0</v>
      </c>
      <c r="D230" s="92"/>
      <c r="E230" s="93" t="s">
        <v>721</v>
      </c>
      <c r="F230" s="92" t="s">
        <v>722</v>
      </c>
      <c r="G230" s="119">
        <f>"&amp;hellip; highlighting &amp;hellip; energy end-use efficiency, rooftop-solar systems, vehicle-to-grid interactions, smart thermostats, and home storage&amp;nbsp;devices."</f>
        <v>0</v>
      </c>
      <c r="H230" s="104">
        <f>"&lt;b&gt;Marilyn&amp;nbsp;Brown&lt;/b&gt;, PhD, interim chair, Sch. of Pub. Policy, Georgia Inst. of Techn."</f>
        <v>0</v>
      </c>
      <c r="I230" s="123"/>
      <c r="J230" s="97"/>
      <c r="K230" s="124"/>
      <c r="L230" s="113">
        <f>"registration: https://volpe-events.webex.com/ec3300/eventcenter/enroll/join.do?confId=194474605424950928&amp;theAction=detail&amp;path=program_detail&amp;siteurl=volpe-events&amp;confViewID=194474605424950928&amp;internalProgramTicketUnList=4832534b000000046308844376a8cb4094"</f>
        <v>0</v>
      </c>
      <c r="M230" s="113"/>
      <c r="N230" s="116">
        <f>"Series link:  https://www.volpe.dot.gov/events/innovation-for-sustainable-equitable-transportation"</f>
        <v>0</v>
      </c>
      <c r="O230" s="114" t="s">
        <v>181</v>
      </c>
      <c r="P230" s="115" t="s">
        <v>521</v>
      </c>
      <c r="Q230" s="117" t="s">
        <v>182</v>
      </c>
      <c r="R230" s="265" t="s">
        <v>54</v>
      </c>
      <c r="S230" s="87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</row>
    <row r="231" spans="1:64" s="102" customFormat="1" ht="66" customHeight="1">
      <c r="A231" s="89">
        <f>"Dep't of Energy Small-Business Innovative Research (SBIR) Webinar for topics 01&amp;#8209;23"</f>
        <v>0</v>
      </c>
      <c r="B231" s="111" t="s">
        <v>723</v>
      </c>
      <c r="C231" s="92">
        <f>"https://science-doe.zoomgov.com/webinar/register/WN_cZ9PQR5iTzSEIvXTeWacow"</f>
        <v>0</v>
      </c>
      <c r="D231" s="293"/>
      <c r="E231" s="93" t="s">
        <v>724</v>
      </c>
      <c r="F231" s="92" t="s">
        <v>725</v>
      </c>
      <c r="G231" s="297"/>
      <c r="H231" s="104" t="s">
        <v>726</v>
      </c>
      <c r="I231" s="123"/>
      <c r="J231" s="97"/>
      <c r="K231" s="124"/>
      <c r="L231" s="113"/>
      <c r="M231" s="113"/>
      <c r="N231" s="116"/>
      <c r="O231" s="114" t="s">
        <v>727</v>
      </c>
      <c r="P231" s="115">
        <f>"https://science.osti.gov/sbir/Funding-Opportunities"</f>
        <v>0</v>
      </c>
      <c r="Q231" s="117" t="s">
        <v>64</v>
      </c>
      <c r="R231" s="185" t="s">
        <v>65</v>
      </c>
      <c r="S231" s="87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</row>
    <row r="232" spans="1:64" s="102" customFormat="1" ht="66" customHeight="1">
      <c r="A232" s="89">
        <f>" . . . topics 25&amp;#8209;35"</f>
        <v>0</v>
      </c>
      <c r="B232" s="111"/>
      <c r="C232" s="92">
        <f>"https://science-doe.zoomgov.com/webinar/register/WN_1FBsobJGQQKii3FCJfjvNQ"</f>
        <v>0</v>
      </c>
      <c r="D232" s="293"/>
      <c r="E232" s="93" t="s">
        <v>728</v>
      </c>
      <c r="F232" s="92"/>
      <c r="G232" s="297"/>
      <c r="H232" s="104"/>
      <c r="I232" s="123"/>
      <c r="J232" s="97"/>
      <c r="K232" s="124"/>
      <c r="L232" s="113"/>
      <c r="M232" s="113"/>
      <c r="N232" s="116"/>
      <c r="O232" s="114"/>
      <c r="P232" s="115"/>
      <c r="Q232" s="117"/>
      <c r="R232" s="185"/>
      <c r="S232" s="87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</row>
    <row r="233" spans="1:64" s="102" customFormat="1" ht="87" customHeight="1">
      <c r="A233" s="89" t="s">
        <v>332</v>
      </c>
      <c r="B233" s="90" t="s">
        <v>333</v>
      </c>
      <c r="C233" s="103">
        <f>"http://transportationcamp.org/events/phl2021-summer/"</f>
        <v>0</v>
      </c>
      <c r="D233" s="92" t="s">
        <v>729</v>
      </c>
      <c r="E233" s="93" t="s">
        <v>730</v>
      </c>
      <c r="F233" s="92" t="s">
        <v>89</v>
      </c>
      <c r="G233" s="94">
        <f>"&amp;hellip; will be an opportunity for TransportationCamp participants to interact with one other in an in&amp;#8209;person setting, &amp;hellip;"</f>
        <v>0</v>
      </c>
      <c r="H233" s="104">
        <f>"registration:  https://www.eventbrite.com/e/transportationcamp-phl-summer-gathering-2021-registration-159229380363?aff=transportationcampdotorg"</f>
        <v>0</v>
      </c>
      <c r="I233" s="96"/>
      <c r="J233" s="105"/>
      <c r="K233" s="117">
        <f>"Series link:  http://transportationcamp.org/"</f>
        <v>0</v>
      </c>
      <c r="L233" s="106">
        <f>"Essential guide:  http://transportationcamp.org/2011/02/how-transportationcamp-works-the-essential-guide/"</f>
        <v>0</v>
      </c>
      <c r="M233" s="111">
        <f>"Academic Innovation Award &lt;/b&gt;&lt;i&gt;(Student&amp;nbsp;Competition)&lt;/i&gt; due 2021/03/15 (extended)"</f>
        <v>0</v>
      </c>
      <c r="N233" s="116">
        <f>"https://docs.google.com/forms/d/e/1FAIpQLSch14g_2RnTaq1cdmHLVbTJcFA3ozxlnGeQwKfm_ec-OPLT2w/viewform"</f>
        <v>0</v>
      </c>
      <c r="O233" s="106"/>
      <c r="P233" s="92"/>
      <c r="Q233" s="107" t="s">
        <v>53</v>
      </c>
      <c r="R233" s="118" t="s">
        <v>91</v>
      </c>
      <c r="S233" s="87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</row>
    <row r="234" spans="1:64" s="102" customFormat="1" ht="63.75" customHeight="1">
      <c r="A234" s="89" t="s">
        <v>731</v>
      </c>
      <c r="B234" s="90" t="s">
        <v>732</v>
      </c>
      <c r="C234" s="103">
        <f>"https://event.webcasts.com/starthere.jsp?ei=1478089&amp;tp_key=165ec04c60"</f>
        <v>0</v>
      </c>
      <c r="D234" s="92"/>
      <c r="E234" s="93" t="s">
        <v>733</v>
      </c>
      <c r="F234" s="92" t="s">
        <v>734</v>
      </c>
      <c r="G234" s="94">
        <f>"&amp;hellip; automated cloud-based technology to optimize the vehicle development process."</f>
        <v>0</v>
      </c>
      <c r="H234" s="104">
        <f>"Speaker:&amp;nbsp; &lt;b&gt;Chris&amp;nbsp;Glover&lt;/b&gt;, Cost Eng. Lead, Arrival"</f>
        <v>0</v>
      </c>
      <c r="I234" s="96"/>
      <c r="J234" s="267"/>
      <c r="K234" s="211"/>
      <c r="L234" s="291"/>
      <c r="M234" s="292"/>
      <c r="N234" s="100"/>
      <c r="O234" s="110" t="s">
        <v>226</v>
      </c>
      <c r="P234" s="92" t="s">
        <v>227</v>
      </c>
      <c r="Q234" s="156" t="s">
        <v>64</v>
      </c>
      <c r="R234" s="157" t="s">
        <v>65</v>
      </c>
      <c r="S234" s="87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</row>
    <row r="235" spans="1:64" s="102" customFormat="1" ht="77.25" customHeight="1">
      <c r="A235" s="89"/>
      <c r="B235" s="90"/>
      <c r="C235" s="103">
        <f>"https://www.techbriefs.com/component/content/article/tb/webcasts/upcoming-webinars/39490?m=1403"</f>
        <v>0</v>
      </c>
      <c r="D235" s="92"/>
      <c r="E235" s="92"/>
      <c r="F235" s="92"/>
      <c r="G235" s="94"/>
      <c r="H235" s="104">
        <f>"Moderator:  &lt;b&gt;Lisa&amp;nbsp;Arrigo&lt;/b&gt;, SAE Media Group"</f>
        <v>0</v>
      </c>
      <c r="I235" s="96"/>
      <c r="J235" s="267"/>
      <c r="K235" s="211"/>
      <c r="L235" s="291"/>
      <c r="M235" s="292"/>
      <c r="N235" s="100"/>
      <c r="O235" s="110"/>
      <c r="P235" s="92"/>
      <c r="Q235" s="156"/>
      <c r="R235" s="157"/>
      <c r="S235" s="87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</row>
    <row r="236" spans="1:64" s="102" customFormat="1" ht="20.25" customHeight="1">
      <c r="A236" s="89" t="s">
        <v>735</v>
      </c>
      <c r="B236" s="90" t="s">
        <v>736</v>
      </c>
      <c r="C236" s="103">
        <f>"Call - CIV2021.pdf"</f>
        <v>0</v>
      </c>
      <c r="D236" s="92" t="s">
        <v>737</v>
      </c>
      <c r="E236" s="93" t="s">
        <v>738</v>
      </c>
      <c r="F236" s="92" t="s">
        <v>739</v>
      </c>
      <c r="G236" s="94">
        <f>"The Summer School on &amp;ldquo;Cooperative Interacting Vehicles&amp;rdquo; aims at gathering Ph.D. students and Young Professionals from Universities and Research Institutions&amp;hellip;"</f>
        <v>0</v>
      </c>
      <c r="H236" s="104"/>
      <c r="I236" s="96"/>
      <c r="J236" s="105"/>
      <c r="K236" s="98"/>
      <c r="L236" s="113"/>
      <c r="M236" s="100"/>
      <c r="N236" s="116"/>
      <c r="O236" s="106" t="s">
        <v>394</v>
      </c>
      <c r="P236" s="92" t="s">
        <v>395</v>
      </c>
      <c r="Q236" s="107" t="s">
        <v>64</v>
      </c>
      <c r="R236" s="108" t="s">
        <v>65</v>
      </c>
      <c r="S236" s="87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</row>
    <row r="237" spans="1:64" s="102" customFormat="1" ht="43.5" customHeight="1">
      <c r="A237" s="89"/>
      <c r="B237" s="90"/>
      <c r="C237" s="103">
        <f>"For reference:  https://civ2018.org/  (2018 version)"</f>
        <v>0</v>
      </c>
      <c r="D237" s="92"/>
      <c r="E237" s="92"/>
      <c r="F237" s="92"/>
      <c r="G237" s="94"/>
      <c r="H237" s="104"/>
      <c r="I237" s="96"/>
      <c r="J237" s="105"/>
      <c r="K237" s="98"/>
      <c r="L237" s="113"/>
      <c r="M237" s="100"/>
      <c r="N237" s="116"/>
      <c r="O237" s="106"/>
      <c r="P237" s="92"/>
      <c r="Q237" s="107"/>
      <c r="R237" s="108"/>
      <c r="S237" s="87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</row>
    <row r="238" spans="1:64" s="102" customFormat="1" ht="65.25" customHeight="1">
      <c r="A238" s="89">
        <f>"Free Webinar:&amp;nbsp; Green Testing EV Batteries and Fuel Cells with Regenerative Electronic Loads "</f>
        <v>0</v>
      </c>
      <c r="B238" s="90" t="s">
        <v>740</v>
      </c>
      <c r="C238" s="103">
        <f>"https://www.globalspec.com/events/eventdetails?eventId=3313"</f>
        <v>0</v>
      </c>
      <c r="D238" s="92"/>
      <c r="E238" s="93" t="s">
        <v>741</v>
      </c>
      <c r="F238" s="92" t="s">
        <v>742</v>
      </c>
      <c r="G238" s="94">
        <f>"Simplified, cost-effective testing of EV batteries and fuel cells with regenerative DC electronic loads, and bidirectional DC power supplies &amp;hellip; can return up to 96% of the energy &amp;hellip;"</f>
        <v>0</v>
      </c>
      <c r="H238" s="104">
        <f>"&lt;b&gt;Eric&amp;nbsp;Turner&lt;/b&gt;, USA Sales Mgt,  EA Elektro-Automatik, Inc."</f>
        <v>0</v>
      </c>
      <c r="I238" s="96"/>
      <c r="J238" s="105"/>
      <c r="K238" s="98"/>
      <c r="L238" s="113"/>
      <c r="M238" s="159"/>
      <c r="N238" s="200"/>
      <c r="O238" s="106" t="s">
        <v>743</v>
      </c>
      <c r="P238" s="298">
        <f>"https://www.globalspec.com/events/"</f>
        <v>0</v>
      </c>
      <c r="Q238" s="107" t="s">
        <v>64</v>
      </c>
      <c r="R238" s="108" t="s">
        <v>65</v>
      </c>
      <c r="S238" s="87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</row>
    <row r="239" spans="1:64" s="102" customFormat="1" ht="51.75" customHeight="1">
      <c r="A239" s="89" t="s">
        <v>744</v>
      </c>
      <c r="B239" s="90" t="s">
        <v>745</v>
      </c>
      <c r="C239" s="103">
        <f>"https://www.cambridgeenertech.com/solid-state-batteries"</f>
        <v>0</v>
      </c>
      <c r="D239" s="92"/>
      <c r="E239" s="93" t="s">
        <v>746</v>
      </c>
      <c r="F239" s="92" t="s">
        <v>747</v>
      </c>
      <c r="G239" s="94">
        <f>"&amp;hellip;  solid-state batteries show significant promise if their costs can be brought in line with other competing battery chemistries."</f>
        <v>0</v>
      </c>
      <c r="H239" s="104"/>
      <c r="I239" s="96"/>
      <c r="J239" s="105"/>
      <c r="K239" s="98"/>
      <c r="L239" s="113">
        <f>"registration:  https://chidb.com/reg/bmss/reg.asp"</f>
        <v>0</v>
      </c>
      <c r="M239" s="100">
        <f>"Brochure:  Applic. for .pdf download:  https://www.cambridgeenertech.com/solid-state-batteries/2021-brochure-download-form"</f>
        <v>0</v>
      </c>
      <c r="N239" s="100"/>
      <c r="O239" s="106" t="s">
        <v>243</v>
      </c>
      <c r="P239" s="92" t="s">
        <v>748</v>
      </c>
      <c r="Q239" s="107" t="s">
        <v>64</v>
      </c>
      <c r="R239" s="108" t="s">
        <v>65</v>
      </c>
      <c r="S239" s="87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</row>
    <row r="240" spans="1:64" s="102" customFormat="1" ht="51.75" customHeight="1">
      <c r="A240" s="89"/>
      <c r="B240" s="90"/>
      <c r="C240" s="103"/>
      <c r="D240" s="92"/>
      <c r="E240" s="93"/>
      <c r="F240" s="128" t="s">
        <v>749</v>
      </c>
      <c r="G240" s="130">
        <f>"Reducing Costs and achieving Safe, High Energy Density Batteries with Solid Electrolytes"</f>
        <v>0</v>
      </c>
      <c r="H240" s="104"/>
      <c r="I240" s="96"/>
      <c r="J240" s="105"/>
      <c r="K240" s="98"/>
      <c r="L240" s="113"/>
      <c r="M240" s="100"/>
      <c r="N240" s="100"/>
      <c r="O240" s="106"/>
      <c r="P240" s="92"/>
      <c r="Q240" s="107"/>
      <c r="R240" s="108"/>
      <c r="S240" s="87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</row>
    <row r="241" spans="1:64" s="102" customFormat="1" ht="88.5" customHeight="1">
      <c r="A241" s="89" t="s">
        <v>750</v>
      </c>
      <c r="B241" s="92" t="s">
        <v>751</v>
      </c>
      <c r="C241" s="92">
        <f>"https://www.volpe.dot.gov/events/james-bradbury"</f>
        <v>0</v>
      </c>
      <c r="D241" s="92"/>
      <c r="E241" s="93" t="s">
        <v>752</v>
      </c>
      <c r="F241" s="92" t="s">
        <v>753</v>
      </c>
      <c r="G241" s="119">
        <f>"&amp;hellip; support of state efforts to reduce greenhouse gas emissions, through facilitation, convening, and analysis."</f>
        <v>0</v>
      </c>
      <c r="H241" s="104">
        <f>"&lt;b&gt;James&amp;nbsp;Bradbury&lt;/b&gt;, PhD, Mitigation Progr. Dir., Georgetown Climate Cen., Georgetown Univ. Law&amp;nbsp;Cen."</f>
        <v>0</v>
      </c>
      <c r="I241" s="123"/>
      <c r="J241" s="97"/>
      <c r="K241" s="124"/>
      <c r="L241" s="113">
        <f>"registration: https://volpe-events.webex.com/ec3300/eventcenter/enroll/join.do?confId=194474481716051568&amp;theAction=detail&amp;path=program_detail&amp;siteurl=volpe-events&amp;confViewID=194474481716051568&amp;internalProgramTicketUnList=4832534b000000046308844376a8cb4094"</f>
        <v>0</v>
      </c>
      <c r="M241" s="113"/>
      <c r="N241" s="116">
        <f>"Series link:  https://www.volpe.dot.gov/events/innovation-for-sustainable-equitable-transportation"</f>
        <v>0</v>
      </c>
      <c r="O241" s="114" t="s">
        <v>181</v>
      </c>
      <c r="P241" s="115" t="s">
        <v>521</v>
      </c>
      <c r="Q241" s="117" t="s">
        <v>182</v>
      </c>
      <c r="R241" s="265" t="s">
        <v>54</v>
      </c>
      <c r="S241" s="87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</row>
    <row r="242" spans="1:64" s="102" customFormat="1" ht="63.75" customHeight="1">
      <c r="A242" s="89" t="s">
        <v>754</v>
      </c>
      <c r="B242" s="90" t="s">
        <v>755</v>
      </c>
      <c r="C242" s="103">
        <f>"https://www.sae.org/learn/content/c1934/"</f>
        <v>0</v>
      </c>
      <c r="D242" s="92" t="s">
        <v>581</v>
      </c>
      <c r="E242" s="93" t="s">
        <v>756</v>
      </c>
      <c r="F242" s="92" t="s">
        <v>757</v>
      </c>
      <c r="G242" s="94" t="s">
        <v>758</v>
      </c>
      <c r="H242" s="104">
        <f aca="true" t="shared" si="0" ref="H242:H243">"Instructor: Rajeev Thakur"</f>
        <v>0</v>
      </c>
      <c r="I242" s="96"/>
      <c r="J242" s="105"/>
      <c r="K242" s="98"/>
      <c r="L242" s="113" t="s">
        <v>759</v>
      </c>
      <c r="M242" s="159" t="s">
        <v>170</v>
      </c>
      <c r="N242" s="200"/>
      <c r="O242" s="106" t="s">
        <v>171</v>
      </c>
      <c r="P242" s="92">
        <f aca="true" t="shared" si="1" ref="P242:P243">"https://www.sae.org/learn/professional-development"</f>
        <v>0</v>
      </c>
      <c r="Q242" s="107" t="s">
        <v>64</v>
      </c>
      <c r="R242" s="108" t="s">
        <v>65</v>
      </c>
      <c r="S242" s="87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</row>
    <row r="243" spans="1:64" s="102" customFormat="1" ht="60.75" customHeight="1">
      <c r="A243" s="89" t="s">
        <v>760</v>
      </c>
      <c r="B243" s="90" t="s">
        <v>761</v>
      </c>
      <c r="C243" s="103">
        <f>"https://www.sae.org/learn/content/c1935/"</f>
        <v>0</v>
      </c>
      <c r="D243" s="92" t="s">
        <v>581</v>
      </c>
      <c r="E243" s="93" t="s">
        <v>762</v>
      </c>
      <c r="F243" s="92" t="s">
        <v>757</v>
      </c>
      <c r="G243" s="94" t="s">
        <v>763</v>
      </c>
      <c r="H243" s="104">
        <f t="shared" si="0"/>
        <v>0</v>
      </c>
      <c r="I243" s="96"/>
      <c r="J243" s="105"/>
      <c r="K243" s="98"/>
      <c r="L243" s="113" t="s">
        <v>759</v>
      </c>
      <c r="M243" s="159" t="s">
        <v>170</v>
      </c>
      <c r="N243" s="200"/>
      <c r="O243" s="106" t="s">
        <v>171</v>
      </c>
      <c r="P243" s="92">
        <f t="shared" si="1"/>
        <v>0</v>
      </c>
      <c r="Q243" s="107" t="s">
        <v>64</v>
      </c>
      <c r="R243" s="108" t="s">
        <v>65</v>
      </c>
      <c r="S243" s="87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</row>
    <row r="244" spans="1:64" s="102" customFormat="1" ht="144.75" customHeight="1">
      <c r="A244" s="89" t="s">
        <v>764</v>
      </c>
      <c r="B244" s="90" t="s">
        <v>765</v>
      </c>
      <c r="C244" s="103">
        <f>"https://www.aiaa.org/propulsionenergy/program/eats"</f>
        <v>0</v>
      </c>
      <c r="D244" s="92">
        <f>"&lt;strike&gt;Denver, CO&lt;/strike&gt; Virtual&amp;nbsp;Cyberspace"</f>
        <v>0</v>
      </c>
      <c r="E244" s="93" t="s">
        <v>766</v>
      </c>
      <c r="F244" s="92" t="s">
        <v>767</v>
      </c>
      <c r="G244" s="94" t="s">
        <v>768</v>
      </c>
      <c r="H244" s="104">
        <f>"Interesting NASA Video on Electric Planes (4:10):  https://www.google.com/url?sa=t&amp;rct=j&amp;q=&amp;esrc=s&amp;source=web&amp;cd=3&amp;cad=rja&amp;uact=8&amp;ved=2ahUKEwj2p_aIwaTnAhUkhOAKHfi6ASkQwqsBMAJ6BAgKEAk&amp;url=https%3A%2F%2Fwww.youtube.com%2Fwatch%3Fv%3D-HvZ7c0F9ik&amp;usg=AOvVaw3O"</f>
        <v>0</v>
      </c>
      <c r="I244" s="96">
        <f>"colocated with next event"</f>
        <v>0</v>
      </c>
      <c r="J244" s="97"/>
      <c r="K244" s="98">
        <f>"https://www.aiaa.org/contact"</f>
        <v>0</v>
      </c>
      <c r="L244" s="158">
        <f>"https://tec.ieee.org/conferences-workshops/aiaa-ieee-electric-aircraft-technologies-symposium-eats"</f>
        <v>0</v>
      </c>
      <c r="M244" s="100">
        <f>"https://netforum.aiaa.org/eweb/AIAAPage.aspx?webcode=login&amp;site=aiaa_frame&amp;url_success=https%3a%2f%2faiaa-MPE21.abstractcentral.com%2flogin%3fNEXT_PAGE%3dWELCOME%26PRE_ACTION%3dLOGIN%26ssoToken%3d%7bTOKEN%7d&amp;_ga=2.127960079.2061641951.1607353707-145167866"</f>
        <v>0</v>
      </c>
      <c r="N244" s="116">
        <f>"abstracts due:  2021/02/11 20:00"</f>
        <v>0</v>
      </c>
      <c r="O244" s="110" t="s">
        <v>610</v>
      </c>
      <c r="P244" s="92">
        <f>"https://tec.ieee.org/conferences-workshops"</f>
        <v>0</v>
      </c>
      <c r="Q244" s="156" t="s">
        <v>64</v>
      </c>
      <c r="R244" s="157" t="s">
        <v>65</v>
      </c>
      <c r="S244" s="87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</row>
    <row r="245" spans="1:64" ht="36" customHeight="1">
      <c r="A245" s="89"/>
      <c r="B245" s="90"/>
      <c r="C245" s="103"/>
      <c r="D245" s="92"/>
      <c r="E245" s="299" t="s">
        <v>769</v>
      </c>
      <c r="F245" s="92"/>
      <c r="G245" s="94"/>
      <c r="H245" s="104"/>
      <c r="I245" s="96"/>
      <c r="J245" s="97"/>
      <c r="K245" s="96">
        <f>"E-mail alerts:  http://aiaa.informz.net/AIAA/profile.asp?fid=3290"</f>
        <v>0</v>
      </c>
      <c r="L245" s="158">
        <f>"Abstract Submission Process &amp; Requirements:  https://www.aiaa.org/propulsionenergy/presentations-papers/call-for-papers/info"</f>
        <v>0</v>
      </c>
      <c r="M245" s="100"/>
      <c r="N245" s="116"/>
      <c r="O245" s="110"/>
      <c r="P245" s="92"/>
      <c r="Q245" s="156"/>
      <c r="R245" s="157"/>
      <c r="S245" s="87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</row>
    <row r="246" spans="1:64" ht="100.5" customHeight="1">
      <c r="A246" s="89" t="s">
        <v>770</v>
      </c>
      <c r="B246" s="90" t="s">
        <v>771</v>
      </c>
      <c r="C246" s="103">
        <f>"https://tec.ieee.org/conferences-workshops/aiaa-ieee-electric-aircraft-technologies-symposium-eats/aiaa-ieee-eats-student-design-competition"</f>
        <v>0</v>
      </c>
      <c r="D246" s="92"/>
      <c r="E246" s="93" t="s">
        <v>772</v>
      </c>
      <c r="F246" s="92" t="s">
        <v>773</v>
      </c>
      <c r="G246" s="94">
        <f>"The &amp;ldquo;dream&amp;rdquo; of a electrically propelled flying car is now starting to become reality &amp;hellip;"</f>
        <v>0</v>
      </c>
      <c r="H246" s="104">
        <f>"Video (0:59):  Explanation of smaller wings and multiple engines:  https://www.youtube.com/watch?v=CkBhPWFM1uk"</f>
        <v>0</v>
      </c>
      <c r="I246" s="123">
        <f>"colocated with previous event"</f>
        <v>0</v>
      </c>
      <c r="J246" s="97"/>
      <c r="K246" s="270">
        <f>"email:propulsionenergy.aiaa.org/EATS"</f>
        <v>0</v>
      </c>
      <c r="L246" s="300">
        <f>"https://files.constantcontact.com/7e768b01301/98b31caa-d844-4572-8e8d-434eae4ce225.pdf"</f>
        <v>0</v>
      </c>
      <c r="M246" s="100">
        <f>"https://ieee.secure-platform.com/a/solicitations/login/416?returnUrl=http%3A%2F%2Fieee.secure-platform.com%2Fa%2Fsolicitations%2F416%2Fhome"</f>
        <v>0</v>
      </c>
      <c r="N246" s="100" t="s">
        <v>418</v>
      </c>
      <c r="O246" s="110"/>
      <c r="P246" s="110"/>
      <c r="Q246" s="110"/>
      <c r="R246" s="157"/>
      <c r="S246" s="87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</row>
    <row r="247" spans="1:64" s="102" customFormat="1" ht="78" customHeight="1">
      <c r="A247" s="89">
        <f>"Dept. of Energy Webinar: Funding Opportunity Announcement (FOA) for Small Business Innovative Research (SBIR) solicitation"</f>
        <v>0</v>
      </c>
      <c r="B247" s="111" t="s">
        <v>723</v>
      </c>
      <c r="C247" s="92">
        <f>"https://science-doe.zoomgov.com/webinar/register/WN_lYXS92kuQpieDX18R5nY4g"</f>
        <v>0</v>
      </c>
      <c r="D247" s="293"/>
      <c r="E247" s="93" t="s">
        <v>774</v>
      </c>
      <c r="F247" s="92" t="s">
        <v>725</v>
      </c>
      <c r="G247" s="119">
        <f>"\nCovers Programs. Technology Areas, and Application and Award Process"</f>
        <v>0</v>
      </c>
      <c r="H247" s="104" t="s">
        <v>726</v>
      </c>
      <c r="I247" s="123"/>
      <c r="J247" s="97"/>
      <c r="K247" s="124"/>
      <c r="L247" s="99"/>
      <c r="M247" s="101"/>
      <c r="N247" s="116"/>
      <c r="O247" s="114" t="s">
        <v>727</v>
      </c>
      <c r="P247" s="115">
        <f>"https://science.osti.gov/sbir/Funding-Opportunities"</f>
        <v>0</v>
      </c>
      <c r="Q247" s="117" t="s">
        <v>64</v>
      </c>
      <c r="R247" s="185" t="s">
        <v>65</v>
      </c>
      <c r="S247" s="87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</row>
    <row r="248" spans="1:64" s="102" customFormat="1" ht="87.75" customHeight="1">
      <c r="A248" s="89">
        <f>"SAE CEU Course:  Robotics for Autonomous Vehicle Systems Bootcamp"</f>
        <v>0</v>
      </c>
      <c r="B248" s="90" t="s">
        <v>775</v>
      </c>
      <c r="C248" s="103">
        <f>"https://www.sae.org/learn/content/c2012/"</f>
        <v>0</v>
      </c>
      <c r="D248" s="92" t="s">
        <v>48</v>
      </c>
      <c r="E248" s="93" t="s">
        <v>776</v>
      </c>
      <c r="F248" s="92" t="s">
        <v>482</v>
      </c>
      <c r="G248" s="94">
        <f>"You&amp;rsquo;ll develop a deep, technical understanding of how to build autonomous systems by learning to program a mobile robot through hands-on approaches using ROS, Gazebo, and Python."</f>
        <v>0</v>
      </c>
      <c r="H248" s="104" t="s">
        <v>483</v>
      </c>
      <c r="I248" s="123"/>
      <c r="J248" s="97"/>
      <c r="K248" s="98"/>
      <c r="L248" s="158" t="s">
        <v>484</v>
      </c>
      <c r="M248" s="100" t="s">
        <v>485</v>
      </c>
      <c r="N248" s="116"/>
      <c r="O248" s="106" t="s">
        <v>171</v>
      </c>
      <c r="P248" s="92" t="s">
        <v>172</v>
      </c>
      <c r="Q248" s="107" t="s">
        <v>64</v>
      </c>
      <c r="R248" s="108" t="s">
        <v>65</v>
      </c>
      <c r="S248" s="87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</row>
    <row r="249" spans="1:64" s="102" customFormat="1" ht="34.5" customHeight="1">
      <c r="A249" s="89">
        <f>"IEEE National Aerospace &amp; Electronics Conference &amp;ndash; IEEE NAECON 2021"</f>
        <v>0</v>
      </c>
      <c r="B249" s="90" t="s">
        <v>777</v>
      </c>
      <c r="C249" s="103">
        <f>"https://attend.ieee.org/naecon-2021/"</f>
        <v>0</v>
      </c>
      <c r="D249" s="92" t="s">
        <v>778</v>
      </c>
      <c r="E249" s="93" t="s">
        <v>779</v>
      </c>
      <c r="F249" s="92" t="s">
        <v>780</v>
      </c>
      <c r="G249" s="94" t="s">
        <v>781</v>
      </c>
      <c r="H249" s="104"/>
      <c r="I249" s="123"/>
      <c r="J249" s="97"/>
      <c r="K249" s="124"/>
      <c r="L249" s="301">
        <f>"https://attend.ieee.org/naecon-2021/call-for-papers/"</f>
        <v>0</v>
      </c>
      <c r="M249" s="100">
        <f>"Author Submission Information:  https://attend.ieee.org/naecon-2021/call-for-papers/information-for-authors/"</f>
        <v>0</v>
      </c>
      <c r="N249" s="100" t="s">
        <v>782</v>
      </c>
      <c r="O249" s="106" t="s">
        <v>783</v>
      </c>
      <c r="P249" s="92"/>
      <c r="Q249" s="107"/>
      <c r="R249" s="157" t="s">
        <v>65</v>
      </c>
      <c r="S249" s="87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</row>
    <row r="250" spans="1:64" s="102" customFormat="1" ht="42" customHeight="1">
      <c r="A250" s="89"/>
      <c r="B250" s="90"/>
      <c r="C250" s="103"/>
      <c r="D250" s="92"/>
      <c r="E250" s="93"/>
      <c r="F250" s="92"/>
      <c r="G250" s="94"/>
      <c r="H250" s="104"/>
      <c r="I250" s="123"/>
      <c r="J250" s="97"/>
      <c r="K250" s="124"/>
      <c r="L250" s="110">
        <f>"Call for Tracks-Tutorials-Special Sessions:  https://attend.ieee.org/naecon-2021/call-for-papers/call-for-tracks-tutorials-special-sessions/"</f>
        <v>0</v>
      </c>
      <c r="M250" s="100"/>
      <c r="N250" s="100"/>
      <c r="O250" s="106"/>
      <c r="P250" s="92"/>
      <c r="Q250" s="107"/>
      <c r="R250" s="157"/>
      <c r="S250" s="87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</row>
    <row r="251" spans="1:64" ht="103.5" customHeight="1">
      <c r="A251" s="89" t="s">
        <v>356</v>
      </c>
      <c r="B251" s="90" t="s">
        <v>137</v>
      </c>
      <c r="C251" s="103">
        <f>"https://driveworldexpo.com/"</f>
        <v>0</v>
      </c>
      <c r="D251" s="92" t="s">
        <v>357</v>
      </c>
      <c r="E251" s="93" t="s">
        <v>784</v>
      </c>
      <c r="F251" s="92" t="s">
        <v>140</v>
      </c>
      <c r="G251" s="94" t="s">
        <v>141</v>
      </c>
      <c r="H251" s="104">
        <f>"Colacated with DesignCon:  https://www.designcon.com/en/home.html"</f>
        <v>0</v>
      </c>
      <c r="I251" s="123">
        <f>"ESC Conference Overview:  https://driveworldexpo.com/esc-conference-overview"</f>
        <v>0</v>
      </c>
      <c r="J251" s="123"/>
      <c r="K251" s="302">
        <f>"Regis. Inquiry:  https://driveworldexpo.com/registration-inquiry-form"</f>
        <v>0</v>
      </c>
      <c r="L251" s="303">
        <f>"colocated with Embedded Systems Conference (ESC):"</f>
        <v>0</v>
      </c>
      <c r="M251" s="100">
        <f>"https://designcon.com/drive-world-esc"</f>
        <v>0</v>
      </c>
      <c r="N251" s="116"/>
      <c r="O251" s="153" t="s">
        <v>142</v>
      </c>
      <c r="P251" s="154">
        <f>"https://www.informamarkets.com/en/home.html"</f>
        <v>0</v>
      </c>
      <c r="Q251" s="107" t="s">
        <v>64</v>
      </c>
      <c r="R251" s="108" t="s">
        <v>65</v>
      </c>
      <c r="S251" s="87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</row>
    <row r="252" spans="1:19" s="102" customFormat="1" ht="50.25" customHeight="1">
      <c r="A252" s="89" t="s">
        <v>507</v>
      </c>
      <c r="B252" s="90" t="s">
        <v>508</v>
      </c>
      <c r="C252" s="103">
        <f>"http://www.gtsummitexpo.socialenterprises.net/"</f>
        <v>0</v>
      </c>
      <c r="D252" s="92" t="s">
        <v>509</v>
      </c>
      <c r="E252" s="93" t="s">
        <v>785</v>
      </c>
      <c r="F252" s="92" t="s">
        <v>511</v>
      </c>
      <c r="G252" s="94" t="s">
        <v>786</v>
      </c>
      <c r="H252" s="104"/>
      <c r="I252" s="96"/>
      <c r="J252" s="97" t="s">
        <v>513</v>
      </c>
      <c r="K252" s="98">
        <f>"http://www.gtsummitexpo.socialenterprises.net/contact/"</f>
        <v>0</v>
      </c>
      <c r="L252" s="199">
        <f>"Sessions and Speaker Proposals:  https://docs.google.com/forms/d/e/1FAIpQLSffJ2dVPoi4m_TsQaZHY_R5GjQmi-iYFLe12mjR1ahfuTFazg/viewform"</f>
        <v>0</v>
      </c>
      <c r="M252" s="97">
        <f>"mailto:info@gtsummitexpo.com"</f>
        <v>0</v>
      </c>
      <c r="N252" s="124" t="s">
        <v>787</v>
      </c>
      <c r="O252" s="106" t="s">
        <v>515</v>
      </c>
      <c r="P252" s="92" t="s">
        <v>516</v>
      </c>
      <c r="Q252" s="107" t="s">
        <v>53</v>
      </c>
      <c r="R252" s="118" t="s">
        <v>54</v>
      </c>
      <c r="S252" s="140"/>
    </row>
    <row r="253" spans="1:64" ht="52.5" customHeight="1">
      <c r="A253" s="89"/>
      <c r="B253" s="90"/>
      <c r="C253" s="103"/>
      <c r="D253" s="92"/>
      <c r="E253" s="93"/>
      <c r="F253" s="93"/>
      <c r="G253" s="94"/>
      <c r="H253" s="104"/>
      <c r="I253" s="96"/>
      <c r="J253" s="97"/>
      <c r="K253" s="98">
        <f>"mailto:info@gtsummitexpo.socialenterprises.net"</f>
        <v>0</v>
      </c>
      <c r="L253" s="199">
        <f>"Sponsorship overview:  https://www.gtsummitexpo.socialenterprises.net/downloads/GTSE20_SponsorOverview_BT.pdf"</f>
        <v>0</v>
      </c>
      <c r="M253" s="304">
        <f>"Call for Special Session and Speaker Proposals:  http://www.gtsummitexpo.socialenterprises.net/downloads/GTSE20_CFP.pdf"</f>
        <v>0</v>
      </c>
      <c r="N253" s="304" t="s">
        <v>788</v>
      </c>
      <c r="O253" s="106"/>
      <c r="P253" s="92"/>
      <c r="Q253" s="107"/>
      <c r="R253" s="118"/>
      <c r="S253" s="140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</row>
    <row r="254" spans="1:64" s="102" customFormat="1" ht="21" customHeight="1">
      <c r="A254" s="125" t="s">
        <v>789</v>
      </c>
      <c r="B254" s="126" t="s">
        <v>790</v>
      </c>
      <c r="C254" s="127">
        <f>"https://wardsauto.informa.com/auto-tech-week/"</f>
        <v>0</v>
      </c>
      <c r="D254" s="128" t="s">
        <v>791</v>
      </c>
      <c r="E254" s="129" t="s">
        <v>792</v>
      </c>
      <c r="F254" s="128" t="s">
        <v>793</v>
      </c>
      <c r="G254" s="130">
        <f>"The Engine of Auto Tech Innovation Returns in 2021"</f>
        <v>0</v>
      </c>
      <c r="H254" s="131"/>
      <c r="I254" s="132"/>
      <c r="J254" s="305"/>
      <c r="K254" s="134">
        <f>"https://wardsauto.informa.com/contact-us/"</f>
        <v>0</v>
      </c>
      <c r="L254" s="164">
        <f>"Apply to be a Speaker:  https://wardsauto.informa.com/speaker-application-automotive-tech-week/"</f>
        <v>0</v>
      </c>
      <c r="M254" s="151" t="s">
        <v>111</v>
      </c>
      <c r="N254" s="152"/>
      <c r="O254" s="135" t="s">
        <v>129</v>
      </c>
      <c r="P254" s="128" t="s">
        <v>130</v>
      </c>
      <c r="Q254" s="136" t="s">
        <v>64</v>
      </c>
      <c r="R254" s="137" t="s">
        <v>65</v>
      </c>
      <c r="S254" s="87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</row>
    <row r="255" spans="1:64" s="102" customFormat="1" ht="67.5" customHeight="1">
      <c r="A255" s="125">
        <f>"Comprises &amp;ldquo;ADAS &amp; Autonomous Vehicles&amp;rdquo; and &amp;ldquo;TU-Automotive Detroit&amp;rdquo;"</f>
        <v>0</v>
      </c>
      <c r="B255" s="126"/>
      <c r="C255" s="127"/>
      <c r="D255" s="128"/>
      <c r="E255" s="128"/>
      <c r="F255" s="128"/>
      <c r="G255" s="130"/>
      <c r="H255" s="131"/>
      <c r="I255" s="132"/>
      <c r="J255" s="305"/>
      <c r="K255" s="134"/>
      <c r="L255" s="164"/>
      <c r="M255" s="151"/>
      <c r="N255" s="152"/>
      <c r="O255" s="135"/>
      <c r="P255" s="128"/>
      <c r="Q255" s="136"/>
      <c r="R255" s="137"/>
      <c r="S255" s="87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</row>
    <row r="256" spans="1:64" s="102" customFormat="1" ht="58.5" customHeight="1">
      <c r="A256" s="125" t="s">
        <v>794</v>
      </c>
      <c r="B256" s="126" t="s">
        <v>795</v>
      </c>
      <c r="C256" s="127">
        <f>"https://www.sae.org/learn/content/c1732/"</f>
        <v>0</v>
      </c>
      <c r="D256" s="128" t="s">
        <v>581</v>
      </c>
      <c r="E256" s="129" t="s">
        <v>796</v>
      </c>
      <c r="F256" s="128" t="s">
        <v>797</v>
      </c>
      <c r="G256" s="130" t="s">
        <v>798</v>
      </c>
      <c r="H256" s="131" t="s">
        <v>799</v>
      </c>
      <c r="I256" s="132" t="s">
        <v>800</v>
      </c>
      <c r="J256" s="305"/>
      <c r="K256" s="134"/>
      <c r="L256" s="164" t="s">
        <v>169</v>
      </c>
      <c r="M256" s="170" t="s">
        <v>170</v>
      </c>
      <c r="N256" s="171">
        <f aca="true" t="shared" si="2" ref="N256:N257">"Instructor: Dr. Mark Quarto"</f>
        <v>0</v>
      </c>
      <c r="O256" s="135" t="s">
        <v>171</v>
      </c>
      <c r="P256" s="128">
        <f aca="true" t="shared" si="3" ref="P256:P257">"https://www.sae.org/learn/professional-development"</f>
        <v>0</v>
      </c>
      <c r="Q256" s="136" t="s">
        <v>64</v>
      </c>
      <c r="R256" s="137" t="s">
        <v>65</v>
      </c>
      <c r="S256" s="87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</row>
    <row r="257" spans="1:64" s="102" customFormat="1" ht="63.75" customHeight="1">
      <c r="A257" s="125" t="s">
        <v>801</v>
      </c>
      <c r="B257" s="126" t="s">
        <v>802</v>
      </c>
      <c r="C257" s="127">
        <f>"https://www.sae.org/learn/content/c1504/"</f>
        <v>0</v>
      </c>
      <c r="D257" s="128" t="s">
        <v>581</v>
      </c>
      <c r="E257" s="129" t="s">
        <v>803</v>
      </c>
      <c r="F257" s="128" t="s">
        <v>797</v>
      </c>
      <c r="G257" s="130" t="s">
        <v>804</v>
      </c>
      <c r="H257" s="131" t="s">
        <v>799</v>
      </c>
      <c r="I257" s="132" t="s">
        <v>805</v>
      </c>
      <c r="J257" s="305"/>
      <c r="K257" s="134"/>
      <c r="L257" s="164" t="s">
        <v>806</v>
      </c>
      <c r="M257" s="170" t="s">
        <v>329</v>
      </c>
      <c r="N257" s="171">
        <f t="shared" si="2"/>
        <v>0</v>
      </c>
      <c r="O257" s="135" t="s">
        <v>171</v>
      </c>
      <c r="P257" s="128">
        <f t="shared" si="3"/>
        <v>0</v>
      </c>
      <c r="Q257" s="136" t="s">
        <v>64</v>
      </c>
      <c r="R257" s="137" t="s">
        <v>65</v>
      </c>
      <c r="S257" s="87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</row>
    <row r="258" spans="1:64" s="102" customFormat="1" ht="63.75" customHeight="1">
      <c r="A258" s="89">
        <f>"Charged Magazine Free Webinar:&amp;nbsp; Simplified EV battery and fuel cell testing with regenerative DC loads"</f>
        <v>0</v>
      </c>
      <c r="B258" s="90" t="s">
        <v>807</v>
      </c>
      <c r="C258" s="103">
        <f>"https://chargedevs.com/newswire/simplified-ev-battery-and-fuel-cell-testing-with-regenerative-dc-loads-webinar/"</f>
        <v>0</v>
      </c>
      <c r="D258" s="92"/>
      <c r="E258" s="93" t="s">
        <v>808</v>
      </c>
      <c r="F258" s="92" t="s">
        <v>742</v>
      </c>
      <c r="G258" s="94">
        <f>"Simplified, cost-effective testing of EV batteries and fuel cells with regenerative DC electronic loads, and bidirectional DC power supplies &amp;hellip;"</f>
        <v>0</v>
      </c>
      <c r="H258" s="104">
        <f>"&lt;b&gt;Eric&amp;nbsp;Turner&lt;/b&gt;, USA Sales Mgt,  EA Elektro-Automatik, Inc."</f>
        <v>0</v>
      </c>
      <c r="I258" s="96"/>
      <c r="J258" s="105"/>
      <c r="K258" s="98"/>
      <c r="L258" s="113">
        <f>"registration:  https://us02web.zoom.us/webinar/register/3016227434599/WN_An22LcWVRnuRRim_5Avwqg"</f>
        <v>0</v>
      </c>
      <c r="M258" s="159"/>
      <c r="N258" s="200"/>
      <c r="O258" s="106" t="s">
        <v>75</v>
      </c>
      <c r="P258" s="298">
        <f>"https://chargedevs.com/sponsored/"</f>
        <v>0</v>
      </c>
      <c r="Q258" s="107" t="s">
        <v>64</v>
      </c>
      <c r="R258" s="108" t="s">
        <v>65</v>
      </c>
      <c r="S258" s="87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</row>
    <row r="259" spans="1:64" s="102" customFormat="1" ht="76.5" customHeight="1">
      <c r="A259" s="89" t="s">
        <v>809</v>
      </c>
      <c r="B259" s="90" t="s">
        <v>810</v>
      </c>
      <c r="C259" s="103">
        <f>"http://ismb17.org/"</f>
        <v>0</v>
      </c>
      <c r="D259" s="92" t="s">
        <v>811</v>
      </c>
      <c r="E259" s="93" t="s">
        <v>812</v>
      </c>
      <c r="F259" s="92" t="s">
        <v>813</v>
      </c>
      <c r="G259" s="94"/>
      <c r="H259" s="104">
        <f>"Exhibitors:  http://ismb17.org/exhibition/"</f>
        <v>0</v>
      </c>
      <c r="I259" s="96"/>
      <c r="J259" s="105"/>
      <c r="K259" s="98"/>
      <c r="L259" s="106">
        <f>"http://ismb17.org/abstract-submission/"</f>
        <v>0</v>
      </c>
      <c r="M259" s="111">
        <f>"login:  https://www.easychair.org/conferences/?conf=ismb17"</f>
        <v>0</v>
      </c>
      <c r="N259" s="112" t="s">
        <v>814</v>
      </c>
      <c r="O259" s="106" t="s">
        <v>465</v>
      </c>
      <c r="P259" s="92" t="s">
        <v>815</v>
      </c>
      <c r="Q259" s="107" t="s">
        <v>64</v>
      </c>
      <c r="R259" s="108" t="s">
        <v>65</v>
      </c>
      <c r="S259" s="87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</row>
    <row r="260" spans="1:64" s="102" customFormat="1" ht="100.5" customHeight="1">
      <c r="A260" s="203" t="s">
        <v>304</v>
      </c>
      <c r="B260" s="203" t="s">
        <v>816</v>
      </c>
      <c r="C260" s="204">
        <f>"https://www.sae.org/learn/content/c1603/"</f>
        <v>0</v>
      </c>
      <c r="D260" s="204" t="s">
        <v>581</v>
      </c>
      <c r="E260" s="205" t="s">
        <v>817</v>
      </c>
      <c r="F260" s="92" t="s">
        <v>307</v>
      </c>
      <c r="G260" s="206" t="s">
        <v>308</v>
      </c>
      <c r="H260" s="207" t="s">
        <v>309</v>
      </c>
      <c r="I260" s="96"/>
      <c r="J260" s="97"/>
      <c r="K260" s="98"/>
      <c r="L260" s="158" t="s">
        <v>310</v>
      </c>
      <c r="M260" s="159" t="s">
        <v>311</v>
      </c>
      <c r="N260" s="101"/>
      <c r="O260" s="110" t="s">
        <v>171</v>
      </c>
      <c r="P260" s="92" t="s">
        <v>172</v>
      </c>
      <c r="Q260" s="156" t="s">
        <v>64</v>
      </c>
      <c r="R260" s="108" t="s">
        <v>65</v>
      </c>
      <c r="S260" s="87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</row>
    <row r="261" spans="1:64" s="102" customFormat="1" ht="88.5" customHeight="1">
      <c r="A261" s="89" t="s">
        <v>818</v>
      </c>
      <c r="B261" s="92" t="s">
        <v>819</v>
      </c>
      <c r="C261" s="92">
        <f>"https://www.volpe.dot.gov/events/tim-wallington"</f>
        <v>0</v>
      </c>
      <c r="D261" s="92"/>
      <c r="E261" s="93" t="s">
        <v>820</v>
      </c>
      <c r="F261" s="92" t="s">
        <v>821</v>
      </c>
      <c r="G261" s="119">
        <f>"&amp;hellip; understand local, regional, and global environmental impacts of transportation and to provide sustainable mobility."</f>
        <v>0</v>
      </c>
      <c r="H261" s="104">
        <f>"&lt;b&gt;Tim&amp;nbsp;Wallington&lt;/b&gt;, PhD, Sr. Techn. Leader, Res. &amp; Adv. Eng., Ford&amp;nbsp;Motor&amp;nbsp;Co."</f>
        <v>0</v>
      </c>
      <c r="I261" s="96" t="s">
        <v>178</v>
      </c>
      <c r="J261" s="97" t="s">
        <v>179</v>
      </c>
      <c r="K261" s="98" t="s">
        <v>180</v>
      </c>
      <c r="L261" s="113">
        <f>"registration: https://volpe-events.webex.com/ec3300/eventcenter/enroll/join.do?confId=196735945314156167&amp;theAction=detail&amp;path=program_detail&amp;siteurl=volpe-events&amp;confViewID=196735945314156167&amp;internalProgramTicketUnList=4832534b000000046308844376a8cb4094"</f>
        <v>0</v>
      </c>
      <c r="M261" s="113"/>
      <c r="N261" s="116">
        <f>"Series link:  https://www.volpe.dot.gov/events/innovation-for-sustainable-equitable-transportation"</f>
        <v>0</v>
      </c>
      <c r="O261" s="114" t="s">
        <v>181</v>
      </c>
      <c r="P261" s="115" t="s">
        <v>521</v>
      </c>
      <c r="Q261" s="117" t="s">
        <v>182</v>
      </c>
      <c r="R261" s="265" t="s">
        <v>54</v>
      </c>
      <c r="S261" s="87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</row>
    <row r="262" spans="1:64" s="102" customFormat="1" ht="52.5" customHeight="1">
      <c r="A262" s="89" t="s">
        <v>822</v>
      </c>
      <c r="B262" s="92" t="s">
        <v>823</v>
      </c>
      <c r="C262" s="92">
        <f>"https://teslasciencecenter.org/events/sound/"</f>
        <v>0</v>
      </c>
      <c r="D262" s="92" t="s">
        <v>661</v>
      </c>
      <c r="E262" s="93" t="s">
        <v>824</v>
      </c>
      <c r="F262" s="92" t="s">
        <v>825</v>
      </c>
      <c r="G262" s="119">
        <f>"&amp;hellip;  pushes the boundaries of a traditional music event."</f>
        <v>0</v>
      </c>
      <c r="H262" s="104"/>
      <c r="I262" s="96"/>
      <c r="J262" s="97"/>
      <c r="K262" s="98">
        <f>"mailto:info@teslasciencecenter.org"</f>
        <v>0</v>
      </c>
      <c r="L262" s="99">
        <f>"registration and fees:  https://teslasciencecenter.app.neoncrm.com/np/clients/teslasciencecenter/eventRegistration.jsp?event=762&amp;"</f>
        <v>0</v>
      </c>
      <c r="M262" s="101"/>
      <c r="N262" s="116"/>
      <c r="O262" s="114" t="s">
        <v>665</v>
      </c>
      <c r="P262" s="115" t="s">
        <v>826</v>
      </c>
      <c r="Q262" s="117" t="s">
        <v>439</v>
      </c>
      <c r="R262" s="265" t="s">
        <v>54</v>
      </c>
      <c r="S262" s="87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</row>
    <row r="263" spans="1:64" s="102" customFormat="1" ht="26.25" customHeight="1">
      <c r="A263" s="89" t="s">
        <v>827</v>
      </c>
      <c r="B263" s="90" t="s">
        <v>828</v>
      </c>
      <c r="C263" s="103" t="s">
        <v>829</v>
      </c>
      <c r="D263" s="92" t="s">
        <v>830</v>
      </c>
      <c r="E263" s="93" t="s">
        <v>831</v>
      </c>
      <c r="F263" s="92" t="s">
        <v>832</v>
      </c>
      <c r="G263" s="94">
        <f>"&amp;hellip; including battery electric, hydrogen, natural gas, propane autogas, trucking efficiency, automated and connected tech, and so much more!"</f>
        <v>0</v>
      </c>
      <c r="H263" s="104"/>
      <c r="I263" s="96"/>
      <c r="J263" s="97"/>
      <c r="K263" s="98" t="s">
        <v>833</v>
      </c>
      <c r="L263" s="184">
        <f>"Speakers:  https://www.actexpo.com/speakers"</f>
        <v>0</v>
      </c>
      <c r="M263" s="182"/>
      <c r="N263" s="183"/>
      <c r="O263" s="106" t="s">
        <v>834</v>
      </c>
      <c r="P263" s="92">
        <f>"https://www.act-news.com/"</f>
        <v>0</v>
      </c>
      <c r="Q263" s="107" t="s">
        <v>53</v>
      </c>
      <c r="R263" s="118" t="s">
        <v>54</v>
      </c>
      <c r="S263" s="87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</row>
    <row r="264" spans="1:64" s="102" customFormat="1" ht="26.25" customHeight="1">
      <c r="A264" s="89"/>
      <c r="B264" s="90"/>
      <c r="C264" s="103"/>
      <c r="D264" s="92"/>
      <c r="E264" s="93"/>
      <c r="F264" s="92"/>
      <c r="G264" s="94"/>
      <c r="H264" s="104"/>
      <c r="I264" s="96"/>
      <c r="J264" s="97"/>
      <c r="K264" s="98"/>
      <c r="L264" s="184">
        <f>"News:  https://www.actexpo.com/news"</f>
        <v>0</v>
      </c>
      <c r="M264" s="182"/>
      <c r="N264" s="183"/>
      <c r="O264" s="106"/>
      <c r="P264" s="92"/>
      <c r="Q264" s="107"/>
      <c r="R264" s="118"/>
      <c r="S264" s="87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</row>
    <row r="265" spans="1:64" s="102" customFormat="1" ht="26.25" customHeight="1">
      <c r="A265" s="89"/>
      <c r="B265" s="90"/>
      <c r="C265" s="103"/>
      <c r="D265" s="92"/>
      <c r="E265" s="93"/>
      <c r="F265" s="92"/>
      <c r="G265" s="94"/>
      <c r="H265" s="104"/>
      <c r="I265" s="96"/>
      <c r="J265" s="97"/>
      <c r="K265" s="98"/>
      <c r="L265" s="142">
        <f>"Sign up for updates:  http://learn.actexpo.com/subscribe"</f>
        <v>0</v>
      </c>
      <c r="M265" s="142"/>
      <c r="N265" s="183"/>
      <c r="O265" s="106"/>
      <c r="P265" s="92"/>
      <c r="Q265" s="107"/>
      <c r="R265" s="118"/>
      <c r="S265" s="87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</row>
    <row r="266" spans="1:64" s="102" customFormat="1" ht="26.25" customHeight="1">
      <c r="A266" s="89"/>
      <c r="B266" s="90"/>
      <c r="C266" s="103"/>
      <c r="D266" s="92"/>
      <c r="E266" s="93"/>
      <c r="F266" s="92"/>
      <c r="G266" s="94"/>
      <c r="H266" s="104"/>
      <c r="I266" s="96"/>
      <c r="J266" s="97"/>
      <c r="K266" s="98"/>
      <c r="L266" s="142">
        <f>"To get Brochure:  http://learn.actexpo.com/eventoverview"</f>
        <v>0</v>
      </c>
      <c r="M266" s="142"/>
      <c r="N266" s="183"/>
      <c r="O266" s="106"/>
      <c r="P266" s="92"/>
      <c r="Q266" s="107"/>
      <c r="R266" s="118"/>
      <c r="S266" s="87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</row>
    <row r="267" spans="1:64" ht="21.75" customHeight="1">
      <c r="A267" s="89"/>
      <c r="B267" s="90"/>
      <c r="C267" s="103"/>
      <c r="D267" s="92"/>
      <c r="E267" s="129" t="s">
        <v>835</v>
      </c>
      <c r="F267" s="92"/>
      <c r="G267" s="94"/>
      <c r="H267" s="104"/>
      <c r="I267" s="96"/>
      <c r="J267" s="97"/>
      <c r="K267" s="98"/>
      <c r="L267" s="306">
        <f>"Tracks:  https://www.actexpo.com/tracks"</f>
        <v>0</v>
      </c>
      <c r="M267" s="306"/>
      <c r="N267" s="250"/>
      <c r="O267" s="106"/>
      <c r="P267" s="92"/>
      <c r="Q267" s="107"/>
      <c r="R267" s="118"/>
      <c r="S267" s="87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</row>
    <row r="268" spans="1:64" ht="21.75" customHeight="1">
      <c r="A268" s="89"/>
      <c r="B268" s="90"/>
      <c r="C268" s="103"/>
      <c r="D268" s="92"/>
      <c r="E268" s="129"/>
      <c r="F268" s="92"/>
      <c r="G268" s="94"/>
      <c r="H268" s="104"/>
      <c r="I268" s="96"/>
      <c r="J268" s="97"/>
      <c r="K268" s="98"/>
      <c r="L268" s="142">
        <f>"Expo Hall:  https://www.actexpo.com/expo-hall"</f>
        <v>0</v>
      </c>
      <c r="M268" s="142"/>
      <c r="N268" s="182"/>
      <c r="O268" s="106"/>
      <c r="P268" s="92"/>
      <c r="Q268" s="107"/>
      <c r="R268" s="118"/>
      <c r="S268" s="87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</row>
    <row r="269" spans="1:64" s="102" customFormat="1" ht="33.75" customHeight="1">
      <c r="A269" s="89"/>
      <c r="B269" s="90"/>
      <c r="C269" s="103"/>
      <c r="D269" s="92"/>
      <c r="E269" s="93" t="s">
        <v>836</v>
      </c>
      <c r="F269" s="92"/>
      <c r="G269" s="94"/>
      <c r="H269" s="104"/>
      <c r="I269" s="96"/>
      <c r="J269" s="97"/>
      <c r="K269" s="98"/>
      <c r="L269" s="184">
        <f>"Exhibitors&amp;rsquo; / Sponsors&amp;rsquo; info:  https://www.actexpo.com/sponsor-exhibit-why"</f>
        <v>0</v>
      </c>
      <c r="M269" s="182"/>
      <c r="N269" s="183"/>
      <c r="O269" s="106"/>
      <c r="P269" s="92"/>
      <c r="Q269" s="107"/>
      <c r="R269" s="118"/>
      <c r="S269" s="87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</row>
    <row r="270" spans="1:64" s="102" customFormat="1" ht="33.75" customHeight="1">
      <c r="A270" s="89"/>
      <c r="B270" s="90"/>
      <c r="C270" s="103"/>
      <c r="D270" s="92"/>
      <c r="E270" s="93"/>
      <c r="F270" s="92"/>
      <c r="G270" s="94"/>
      <c r="H270" s="104"/>
      <c r="I270" s="96"/>
      <c r="J270" s="97"/>
      <c r="K270" s="98"/>
      <c r="L270" s="307">
        <f>"https://www.actexpo.com/abstracts"</f>
        <v>0</v>
      </c>
      <c r="M270" s="308">
        <f>"mailto:abstracts@actexpo.com"</f>
        <v>0</v>
      </c>
      <c r="N270" s="183" t="s">
        <v>837</v>
      </c>
      <c r="O270" s="106"/>
      <c r="P270" s="92"/>
      <c r="Q270" s="107"/>
      <c r="R270" s="118"/>
      <c r="S270" s="87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</row>
    <row r="271" spans="1:64" s="102" customFormat="1" ht="33.75" customHeight="1">
      <c r="A271" s="89"/>
      <c r="B271" s="90"/>
      <c r="C271" s="103"/>
      <c r="D271" s="92"/>
      <c r="E271" s="93"/>
      <c r="F271" s="92"/>
      <c r="G271" s="94"/>
      <c r="H271" s="104"/>
      <c r="I271" s="96"/>
      <c r="J271" s="97"/>
      <c r="K271" s="98"/>
      <c r="L271" s="181">
        <f>"Agenda:  https://www.actexpo.com/agenda"</f>
        <v>0</v>
      </c>
      <c r="M271" s="308"/>
      <c r="N271" s="183"/>
      <c r="O271" s="106"/>
      <c r="P271" s="92"/>
      <c r="Q271" s="107"/>
      <c r="R271" s="118"/>
      <c r="S271" s="87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</row>
    <row r="272" spans="1:64" s="102" customFormat="1" ht="27" customHeight="1">
      <c r="A272" s="89" t="s">
        <v>838</v>
      </c>
      <c r="B272" s="90" t="s">
        <v>839</v>
      </c>
      <c r="C272" s="103">
        <f>"https://www.sae.org/learn/content/c2105/"</f>
        <v>0</v>
      </c>
      <c r="D272" s="92" t="s">
        <v>48</v>
      </c>
      <c r="E272" s="93" t="s">
        <v>840</v>
      </c>
      <c r="F272" s="92" t="s">
        <v>841</v>
      </c>
      <c r="G272" s="94">
        <f>"&amp;hellip; networking and automation of vehicles make cybersecurity a core requirement for future vehicles &amp;hellip;"</f>
        <v>0</v>
      </c>
      <c r="H272" s="104" t="s">
        <v>842</v>
      </c>
      <c r="I272" s="96"/>
      <c r="J272" s="97"/>
      <c r="K272" s="98"/>
      <c r="L272" s="142" t="s">
        <v>843</v>
      </c>
      <c r="M272" s="309" t="s">
        <v>844</v>
      </c>
      <c r="N272" s="117"/>
      <c r="O272" s="106" t="s">
        <v>171</v>
      </c>
      <c r="P272" s="92" t="s">
        <v>172</v>
      </c>
      <c r="Q272" s="107" t="s">
        <v>64</v>
      </c>
      <c r="R272" s="108" t="s">
        <v>65</v>
      </c>
      <c r="S272" s="87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</row>
    <row r="273" spans="1:64" s="102" customFormat="1" ht="27" customHeight="1">
      <c r="A273" s="89"/>
      <c r="B273" s="90"/>
      <c r="C273" s="103"/>
      <c r="D273" s="92"/>
      <c r="E273" s="93"/>
      <c r="F273" s="92"/>
      <c r="G273" s="94"/>
      <c r="H273" s="104">
        <f>"https://www.tuvsud.com/en-us"</f>
        <v>0</v>
      </c>
      <c r="I273" s="96"/>
      <c r="J273" s="97"/>
      <c r="K273" s="98"/>
      <c r="L273" s="142"/>
      <c r="M273" s="309"/>
      <c r="N273" s="117"/>
      <c r="O273" s="106"/>
      <c r="P273" s="92"/>
      <c r="Q273" s="107"/>
      <c r="R273" s="107"/>
      <c r="S273" s="87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</row>
    <row r="274" spans="1:64" s="102" customFormat="1" ht="61.5" customHeight="1">
      <c r="A274" s="89" t="s">
        <v>163</v>
      </c>
      <c r="B274" s="90" t="s">
        <v>845</v>
      </c>
      <c r="C274" s="103">
        <f>"https://www.sae.org/learn/content/c1869"</f>
        <v>0</v>
      </c>
      <c r="D274" s="92" t="s">
        <v>581</v>
      </c>
      <c r="E274" s="93" t="s">
        <v>846</v>
      </c>
      <c r="F274" s="92" t="s">
        <v>167</v>
      </c>
      <c r="G274" s="94" t="s">
        <v>168</v>
      </c>
      <c r="H274" s="104">
        <f>"Instructor: Alan Moore"</f>
        <v>0</v>
      </c>
      <c r="I274" s="96"/>
      <c r="J274" s="105"/>
      <c r="K274" s="98"/>
      <c r="L274" s="106" t="s">
        <v>169</v>
      </c>
      <c r="M274" s="111" t="s">
        <v>170</v>
      </c>
      <c r="N274" s="112"/>
      <c r="O274" s="106" t="s">
        <v>171</v>
      </c>
      <c r="P274" s="92" t="s">
        <v>172</v>
      </c>
      <c r="Q274" s="107" t="s">
        <v>64</v>
      </c>
      <c r="R274" s="108" t="s">
        <v>65</v>
      </c>
      <c r="S274" s="87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</row>
    <row r="275" spans="1:64" s="102" customFormat="1" ht="44.25" customHeight="1">
      <c r="A275" s="89" t="s">
        <v>847</v>
      </c>
      <c r="B275" s="90" t="s">
        <v>848</v>
      </c>
      <c r="C275" s="103">
        <f>"https://event.on24.com/wcc/r/3343712/221785012FFDC0410D03743C8B19732C?partnerref=INTDNNewsletter&amp;ADTRK=InformaMarkets&amp;elq_mid=18560&amp;elq_cid=156211"</f>
        <v>0</v>
      </c>
      <c r="D275" s="92"/>
      <c r="E275" s="93" t="s">
        <v>849</v>
      </c>
      <c r="F275" s="92" t="s">
        <v>850</v>
      </c>
      <c r="G275" s="94">
        <f>"Sensors and software are vital components for enabling autonomous &amp;hellip; vehicles."</f>
        <v>0</v>
      </c>
      <c r="H275" s="104">
        <f>"&lt;b&gt;Christopher&amp;nbsp;Bonanti&lt;/b&gt;, Chf. Exec. Ofc. &amp; Principal, The Baluster Group, Inc."</f>
        <v>0</v>
      </c>
      <c r="I275" s="96"/>
      <c r="J275" s="105"/>
      <c r="K275" s="98"/>
      <c r="L275" s="106"/>
      <c r="M275" s="92"/>
      <c r="N275" s="107"/>
      <c r="O275" s="106"/>
      <c r="P275" s="92"/>
      <c r="Q275" s="107" t="s">
        <v>64</v>
      </c>
      <c r="R275" s="108" t="s">
        <v>65</v>
      </c>
      <c r="S275" s="87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</row>
    <row r="276" spans="1:64" s="102" customFormat="1" ht="30.75" customHeight="1">
      <c r="A276" s="89"/>
      <c r="B276" s="90"/>
      <c r="C276" s="103"/>
      <c r="D276" s="92"/>
      <c r="E276" s="92"/>
      <c r="F276" s="92"/>
      <c r="G276" s="94"/>
      <c r="H276" s="104">
        <f>"&lt;b&gt;Bruno&amp;nbsp;Wilson&lt;/b&gt;, Regional Mgr. &amp; Devel. Engin. Encoder"</f>
        <v>0</v>
      </c>
      <c r="I276" s="96"/>
      <c r="J276" s="105"/>
      <c r="K276" s="98"/>
      <c r="L276" s="106"/>
      <c r="M276" s="92"/>
      <c r="N276" s="107"/>
      <c r="O276" s="106"/>
      <c r="P276" s="92"/>
      <c r="Q276" s="107"/>
      <c r="R276" s="108"/>
      <c r="S276" s="87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</row>
    <row r="277" spans="1:64" s="102" customFormat="1" ht="28.5" customHeight="1">
      <c r="A277" s="89"/>
      <c r="B277" s="90"/>
      <c r="C277" s="103"/>
      <c r="D277" s="92"/>
      <c r="E277" s="92"/>
      <c r="F277" s="92"/>
      <c r="G277" s="94"/>
      <c r="H277" s="104">
        <f>"&lt;b&gt;Bryan&amp;nbsp;Cadugan&lt;/b&gt;, Prod&gt; Line Dir., Photonics"</f>
        <v>0</v>
      </c>
      <c r="I277" s="96"/>
      <c r="J277" s="105"/>
      <c r="K277" s="98"/>
      <c r="L277" s="106"/>
      <c r="M277" s="92"/>
      <c r="N277" s="107"/>
      <c r="O277" s="106"/>
      <c r="P277" s="92"/>
      <c r="Q277" s="107"/>
      <c r="R277" s="108"/>
      <c r="S277" s="87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</row>
    <row r="278" spans="1:19" s="102" customFormat="1" ht="60.75" customHeight="1">
      <c r="A278" s="89" t="s">
        <v>499</v>
      </c>
      <c r="B278" s="90" t="s">
        <v>851</v>
      </c>
      <c r="C278" s="103">
        <f>"https://www.sae.org/learn/content/c1867/"</f>
        <v>0</v>
      </c>
      <c r="D278" s="92" t="s">
        <v>501</v>
      </c>
      <c r="E278" s="93" t="s">
        <v>852</v>
      </c>
      <c r="F278" s="92" t="s">
        <v>503</v>
      </c>
      <c r="G278" s="198" t="s">
        <v>504</v>
      </c>
      <c r="H278" s="95" t="s">
        <v>505</v>
      </c>
      <c r="I278" s="256"/>
      <c r="J278" s="257"/>
      <c r="K278" s="258"/>
      <c r="L278" s="158" t="s">
        <v>853</v>
      </c>
      <c r="M278" s="159" t="s">
        <v>311</v>
      </c>
      <c r="N278" s="200"/>
      <c r="O278" s="201" t="s">
        <v>171</v>
      </c>
      <c r="P278" s="111" t="s">
        <v>172</v>
      </c>
      <c r="Q278" s="112" t="s">
        <v>64</v>
      </c>
      <c r="R278" s="108" t="s">
        <v>65</v>
      </c>
      <c r="S278" s="140"/>
    </row>
    <row r="279" spans="1:64" ht="52.5" customHeight="1">
      <c r="A279" s="89" t="s">
        <v>854</v>
      </c>
      <c r="B279" s="92" t="s">
        <v>855</v>
      </c>
      <c r="C279" s="103">
        <f>"http://www.trb.org/Main/Blurbs/182446.aspx"</f>
        <v>0</v>
      </c>
      <c r="D279" s="92"/>
      <c r="E279" s="93" t="s">
        <v>856</v>
      </c>
      <c r="F279" s="92" t="s">
        <v>857</v>
      </c>
      <c r="G279" s="94" t="s">
        <v>858</v>
      </c>
      <c r="H279" s="95" t="s">
        <v>859</v>
      </c>
      <c r="I279" s="123" t="s">
        <v>860</v>
      </c>
      <c r="J279" s="97"/>
      <c r="K279" s="310" t="s">
        <v>860</v>
      </c>
      <c r="L279" s="184">
        <f>"Mandatory Free Registration (will prompt you to log in or join, if nec.): https://webinar.mytrb.org/Webinars/Register/1523"</f>
        <v>0</v>
      </c>
      <c r="M279" s="170">
        <f>"2019&amp;rsquo;s webinar:  https://webinar.mytrb.org/Webinars/Details/1298"</f>
        <v>0</v>
      </c>
      <c r="N279" s="200" t="s">
        <v>861</v>
      </c>
      <c r="O279" s="106" t="s">
        <v>118</v>
      </c>
      <c r="P279" s="92" t="s">
        <v>547</v>
      </c>
      <c r="Q279" s="107" t="s">
        <v>64</v>
      </c>
      <c r="R279" s="108" t="s">
        <v>65</v>
      </c>
      <c r="S279" s="87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</row>
    <row r="280" spans="1:64" s="102" customFormat="1" ht="90" customHeight="1">
      <c r="A280" s="89"/>
      <c r="B280" s="92"/>
      <c r="C280" s="103">
        <f>"alt. link:&amp;mnsp; https://www.nationalacademies.org/event/09-08-2021/trb-webinar-enter-and-search-projects-like-a-pro-with-research-in-progress-database"</f>
        <v>0</v>
      </c>
      <c r="D280" s="92"/>
      <c r="E280" s="93"/>
      <c r="F280" s="92"/>
      <c r="G280" s="94"/>
      <c r="H280" s="95" t="s">
        <v>862</v>
      </c>
      <c r="I280" s="123"/>
      <c r="J280" s="97"/>
      <c r="K280" s="310">
        <f>"mailto:trbwebinar@nas.edu"</f>
        <v>0</v>
      </c>
      <c r="L280" s="114">
        <f>"2019&amp;rsquo;s Guide to RiP Database:  http://onlinepubs.trb.org/onlinepubs/webinars/190828.pdf  (28 pp.)"</f>
        <v>0</v>
      </c>
      <c r="M280" s="100">
        <f>"video version:  https://player.vimeo.com/video/356684462  (vimeo 1:00:50)"</f>
        <v>0</v>
      </c>
      <c r="N280" s="100"/>
      <c r="O280" s="106"/>
      <c r="P280" s="92"/>
      <c r="Q280" s="107"/>
      <c r="R280" s="108"/>
      <c r="S280" s="87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</row>
    <row r="281" spans="1:19" s="187" customFormat="1" ht="79.5" customHeight="1">
      <c r="A281" s="175" t="s">
        <v>863</v>
      </c>
      <c r="B281" s="176" t="s">
        <v>864</v>
      </c>
      <c r="C281" s="177">
        <f>"https://chargedevs.com/newswire/designing-evs-for-longer-lifespans-a-glimpse-into-innovative-high-powered-charging-technologies/"</f>
        <v>0</v>
      </c>
      <c r="D281" s="115"/>
      <c r="E281" s="178" t="s">
        <v>865</v>
      </c>
      <c r="F281" s="115" t="s">
        <v>866</v>
      </c>
      <c r="G281" s="179">
        <f>"Consumers want their EVs to recharge more quickly, drive longer distances between charges, and last longer."</f>
        <v>0</v>
      </c>
      <c r="H281" s="180">
        <f>"&lt;b&gt;Jeremy&amp;nbsp;C.&amp;nbsp;Patterson&lt;/b&gt;, Sr. Dir. Eng., Hybrid &amp; Electric Mobility Sol&amp;rsquo;s, Autom. @TE Connectivity"</f>
        <v>0</v>
      </c>
      <c r="I281" s="181"/>
      <c r="J281" s="182"/>
      <c r="K281" s="183"/>
      <c r="L281" s="184">
        <f>"Mandatory Free Registration:  https://us02web.zoom.us/webinar/register/5216280201981/WN_TZwjPRdeR9ulB-QqJ0BDaw"</f>
        <v>0</v>
      </c>
      <c r="M281" s="182"/>
      <c r="N281" s="183"/>
      <c r="O281" s="184" t="s">
        <v>75</v>
      </c>
      <c r="P281" s="182">
        <f>"https://chargedevs.com/category/sponsored/"</f>
        <v>0</v>
      </c>
      <c r="Q281" s="183" t="s">
        <v>64</v>
      </c>
      <c r="R281" s="185" t="s">
        <v>65</v>
      </c>
      <c r="S281" s="186"/>
    </row>
    <row r="282" spans="1:64" s="102" customFormat="1" ht="76.5" customHeight="1">
      <c r="A282" s="89" t="s">
        <v>867</v>
      </c>
      <c r="B282" s="90" t="s">
        <v>868</v>
      </c>
      <c r="C282" s="103">
        <f>"https://www.sae.org/attend/new-mobility-virtual-career-fair"</f>
        <v>0</v>
      </c>
      <c r="D282" s="92" t="s">
        <v>153</v>
      </c>
      <c r="E282" s="93" t="s">
        <v>869</v>
      </c>
      <c r="F282" s="92" t="s">
        <v>870</v>
      </c>
      <c r="G282" s="94">
        <f>"&amp;hellip; exciting opportunity for students and young mobility professionals &amp;hellip;"</f>
        <v>0</v>
      </c>
      <c r="H282" s="104"/>
      <c r="I282" s="96"/>
      <c r="J282" s="105"/>
      <c r="K282" s="98"/>
      <c r="L282" s="113">
        <f>"Why Attend?  https://www.sae.org/attend/new-mobility-virtual-career-fair/attend"</f>
        <v>0</v>
      </c>
      <c r="M282" s="159"/>
      <c r="N282" s="200"/>
      <c r="O282" s="106" t="s">
        <v>51</v>
      </c>
      <c r="P282" s="92" t="s">
        <v>52</v>
      </c>
      <c r="Q282" s="107" t="s">
        <v>64</v>
      </c>
      <c r="R282" s="118" t="s">
        <v>54</v>
      </c>
      <c r="S282" s="87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</row>
    <row r="283" spans="1:64" s="102" customFormat="1" ht="76.5" customHeight="1">
      <c r="A283" s="89" t="s">
        <v>871</v>
      </c>
      <c r="B283" s="90" t="s">
        <v>872</v>
      </c>
      <c r="C283" s="103">
        <f>"https://aetransport.org/etc"</f>
        <v>0</v>
      </c>
      <c r="D283" s="92" t="s">
        <v>873</v>
      </c>
      <c r="E283" s="93" t="s">
        <v>874</v>
      </c>
      <c r="F283" s="92" t="s">
        <v>875</v>
      </c>
      <c r="G283" s="94">
        <f>"The range of topics, [and] the multi-seminar approach [make] it the established premier event of its type."</f>
        <v>0</v>
      </c>
      <c r="H283" s="104"/>
      <c r="I283" s="96"/>
      <c r="J283" s="105"/>
      <c r="K283" s="98"/>
      <c r="L283" s="113">
        <f>"Submit an Abstract:  https://aetransport.org/this-year-at-etc/submit-an-abstract (Links to brochures at bottom of this page)"</f>
        <v>0</v>
      </c>
      <c r="M283" s="159"/>
      <c r="N283" s="200" t="s">
        <v>876</v>
      </c>
      <c r="O283" s="106" t="s">
        <v>877</v>
      </c>
      <c r="P283" s="92">
        <f>"https://aetransport.org"</f>
        <v>0</v>
      </c>
      <c r="Q283" s="107" t="s">
        <v>64</v>
      </c>
      <c r="R283" s="108" t="s">
        <v>65</v>
      </c>
      <c r="S283" s="87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</row>
    <row r="284" spans="1:64" ht="92.25" customHeight="1">
      <c r="A284" s="89" t="s">
        <v>878</v>
      </c>
      <c r="B284" s="204" t="s">
        <v>879</v>
      </c>
      <c r="C284" s="204">
        <f>"https://ieeesystemscouncil.org/event/2021-international-symposium-systems-engineering"</f>
        <v>0</v>
      </c>
      <c r="D284" s="204" t="s">
        <v>880</v>
      </c>
      <c r="E284" s="205" t="s">
        <v>881</v>
      </c>
      <c r="F284" s="204" t="s">
        <v>882</v>
      </c>
      <c r="G284" s="206" t="s">
        <v>883</v>
      </c>
      <c r="H284" s="207"/>
      <c r="I284" s="96"/>
      <c r="J284" s="97"/>
      <c r="K284" s="134">
        <f>"Contact form:  https://2020.ieeeisse.org/contact"</f>
        <v>0</v>
      </c>
      <c r="L284" s="150">
        <f>"https://2020.ieeeisse.org/document/ieee-isse-2020-call-papers"</f>
        <v>0</v>
      </c>
      <c r="M284" s="151">
        <f>"Submission questions:  Shelby Lussier mailto:slussier@conferencecatalysts.com"</f>
        <v>0</v>
      </c>
      <c r="N284" s="151">
        <f>"Abstract (Industry papers);  Full Manuscript (Academic/Research  papers);  2020/06/14"</f>
        <v>0</v>
      </c>
      <c r="O284" s="106" t="s">
        <v>274</v>
      </c>
      <c r="P284" s="92">
        <f>"https://www.ieeesystemscouncil.org/pages/conferences"</f>
        <v>0</v>
      </c>
      <c r="Q284" s="107" t="s">
        <v>64</v>
      </c>
      <c r="R284" s="108" t="s">
        <v>65</v>
      </c>
      <c r="S284" s="87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</row>
    <row r="285" spans="1:64" ht="67.5" customHeight="1">
      <c r="A285" s="89"/>
      <c r="B285" s="204"/>
      <c r="C285" s="103">
        <f>"alt link:  https://2021.ieeeisse.org/"</f>
        <v>0</v>
      </c>
      <c r="D285" s="204"/>
      <c r="E285" s="205"/>
      <c r="F285" s="204"/>
      <c r="G285" s="206"/>
      <c r="H285" s="207"/>
      <c r="I285" s="96"/>
      <c r="J285" s="97"/>
      <c r="K285" s="134"/>
      <c r="L285" s="150">
        <f>"https://2020.ieeeisse.org/sites/isse20/files/documents/call-docs/isse2020-cfp_web_03.pdf"</f>
        <v>0</v>
      </c>
      <c r="M285" s="151"/>
      <c r="N285" s="151" t="s">
        <v>884</v>
      </c>
      <c r="O285" s="106"/>
      <c r="P285" s="92"/>
      <c r="Q285" s="107"/>
      <c r="R285" s="108"/>
      <c r="S285" s="87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</row>
    <row r="286" spans="1:64" s="102" customFormat="1" ht="36" customHeight="1">
      <c r="A286" s="89" t="s">
        <v>885</v>
      </c>
      <c r="B286" s="90" t="s">
        <v>886</v>
      </c>
      <c r="C286" s="103">
        <f>"https://wardsauto.informa.com/automotive-tech-week-europe/"</f>
        <v>0</v>
      </c>
      <c r="D286" s="92" t="s">
        <v>887</v>
      </c>
      <c r="E286" s="93" t="s">
        <v>888</v>
      </c>
      <c r="F286" s="92" t="s">
        <v>889</v>
      </c>
      <c r="G286" s="94">
        <f>"Not since the invention of the motor car has the industry witnessed such rapid evolution."</f>
        <v>0</v>
      </c>
      <c r="H286" s="104"/>
      <c r="I286" s="142" t="s">
        <v>128</v>
      </c>
      <c r="J286" s="142"/>
      <c r="K286" s="310"/>
      <c r="L286" s="113">
        <f>"Register or Login:  https://wardsauto.informa.com/attend-automotive-tech-week-europe/"</f>
        <v>0</v>
      </c>
      <c r="M286" s="100">
        <f>"Agenda:  https://wardsauto.informa.com/agenda-automotive-tech-week-europe/"</f>
        <v>0</v>
      </c>
      <c r="N286" s="116"/>
      <c r="O286" s="106" t="s">
        <v>129</v>
      </c>
      <c r="P286" s="298">
        <f>"https://wardsauto.informa.com/events/"</f>
        <v>0</v>
      </c>
      <c r="Q286" s="107" t="s">
        <v>64</v>
      </c>
      <c r="R286" s="208" t="s">
        <v>65</v>
      </c>
      <c r="S286" s="87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</row>
    <row r="287" spans="1:64" s="102" customFormat="1" ht="54" customHeight="1">
      <c r="A287" s="89"/>
      <c r="B287" s="90"/>
      <c r="C287" s="103"/>
      <c r="D287" s="92"/>
      <c r="E287" s="93"/>
      <c r="F287" s="92"/>
      <c r="G287" s="94"/>
      <c r="H287" s="104"/>
      <c r="I287" s="142">
        <f>"Content &amp; Speaking Inquiries:   Caroline Hicks"</f>
        <v>0</v>
      </c>
      <c r="J287" s="115">
        <f>"+44 (0)746 453 1583"</f>
        <v>0</v>
      </c>
      <c r="K287" s="310">
        <f>"mailto:caroline.hicks@informa.com"</f>
        <v>0</v>
      </c>
      <c r="L287" s="113"/>
      <c r="M287" s="100"/>
      <c r="N287" s="116"/>
      <c r="O287" s="106"/>
      <c r="P287" s="298"/>
      <c r="Q287" s="107"/>
      <c r="R287" s="208"/>
      <c r="S287" s="87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</row>
    <row r="288" spans="1:64" s="102" customFormat="1" ht="53.25" customHeight="1">
      <c r="A288" s="89"/>
      <c r="B288" s="90"/>
      <c r="C288" s="103"/>
      <c r="D288" s="92"/>
      <c r="E288" s="93"/>
      <c r="F288" s="92"/>
      <c r="G288" s="94"/>
      <c r="H288" s="104"/>
      <c r="I288" s="142">
        <f>"Exhibition &amp; Sponsorship Inquiries: Sanjay Singh"</f>
        <v>0</v>
      </c>
      <c r="J288" s="143">
        <f>"+44(0) 207 551 9828"</f>
        <v>0</v>
      </c>
      <c r="K288" s="141">
        <f>"mailto:sanjay.singh@informa.com"</f>
        <v>0</v>
      </c>
      <c r="L288" s="113"/>
      <c r="M288" s="100"/>
      <c r="N288" s="116"/>
      <c r="O288" s="106"/>
      <c r="P288" s="298"/>
      <c r="Q288" s="107"/>
      <c r="R288" s="208"/>
      <c r="S288" s="87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</row>
    <row r="289" spans="1:64" s="102" customFormat="1" ht="66.75" customHeight="1">
      <c r="A289" s="89"/>
      <c r="B289" s="90"/>
      <c r="C289" s="103"/>
      <c r="D289" s="92"/>
      <c r="E289" s="93"/>
      <c r="F289" s="92"/>
      <c r="G289" s="94"/>
      <c r="H289" s="104"/>
      <c r="I289" s="142">
        <f>"Marketing, Media Partner &amp; Press Inquiries: Freya Smale"</f>
        <v>0</v>
      </c>
      <c r="J289" s="143">
        <f>"+44(0) 739 552 6693"</f>
        <v>0</v>
      </c>
      <c r="K289" s="141">
        <f>"mailto:freya.smale@informa.com"</f>
        <v>0</v>
      </c>
      <c r="L289" s="113"/>
      <c r="M289" s="100"/>
      <c r="N289" s="116"/>
      <c r="O289" s="106"/>
      <c r="P289" s="298"/>
      <c r="Q289" s="107"/>
      <c r="R289" s="208"/>
      <c r="S289" s="87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</row>
    <row r="290" spans="1:64" s="102" customFormat="1" ht="62.25" customHeight="1">
      <c r="A290" s="89" t="s">
        <v>890</v>
      </c>
      <c r="B290" s="90" t="s">
        <v>891</v>
      </c>
      <c r="C290" s="103">
        <f>"https://www.sae.org/learn/content/c1953/"</f>
        <v>0</v>
      </c>
      <c r="D290" s="92" t="s">
        <v>892</v>
      </c>
      <c r="E290" s="93" t="s">
        <v>893</v>
      </c>
      <c r="F290" s="92" t="s">
        <v>894</v>
      </c>
      <c r="G290" s="94" t="s">
        <v>895</v>
      </c>
      <c r="H290" s="104" t="s">
        <v>896</v>
      </c>
      <c r="I290" s="96"/>
      <c r="J290" s="105"/>
      <c r="K290" s="98"/>
      <c r="L290" s="113" t="s">
        <v>897</v>
      </c>
      <c r="M290" s="159" t="s">
        <v>898</v>
      </c>
      <c r="N290" s="200"/>
      <c r="O290" s="106" t="s">
        <v>171</v>
      </c>
      <c r="P290" s="92">
        <f aca="true" t="shared" si="4" ref="P290:P291">"https://www.sae.org/learn/professional-development"</f>
        <v>0</v>
      </c>
      <c r="Q290" s="107" t="s">
        <v>64</v>
      </c>
      <c r="R290" s="208" t="s">
        <v>65</v>
      </c>
      <c r="S290" s="87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</row>
    <row r="291" spans="1:64" s="102" customFormat="1" ht="60" customHeight="1">
      <c r="A291" s="89" t="s">
        <v>466</v>
      </c>
      <c r="B291" s="90" t="s">
        <v>899</v>
      </c>
      <c r="C291" s="103">
        <f>"https://www.sae.org/learn/content/c2006/"</f>
        <v>0</v>
      </c>
      <c r="D291" s="92" t="s">
        <v>468</v>
      </c>
      <c r="E291" s="93" t="s">
        <v>900</v>
      </c>
      <c r="F291" s="92" t="s">
        <v>470</v>
      </c>
      <c r="G291" s="94" t="s">
        <v>901</v>
      </c>
      <c r="H291" s="104" t="s">
        <v>472</v>
      </c>
      <c r="I291" s="96"/>
      <c r="J291" s="97"/>
      <c r="K291" s="98"/>
      <c r="L291" s="201" t="s">
        <v>902</v>
      </c>
      <c r="M291" s="111" t="s">
        <v>311</v>
      </c>
      <c r="N291" s="112"/>
      <c r="O291" s="106" t="s">
        <v>171</v>
      </c>
      <c r="P291" s="92">
        <f t="shared" si="4"/>
        <v>0</v>
      </c>
      <c r="Q291" s="107" t="s">
        <v>64</v>
      </c>
      <c r="R291" s="208" t="s">
        <v>65</v>
      </c>
      <c r="S291" s="87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</row>
    <row r="292" spans="1:64" s="102" customFormat="1" ht="88.5" customHeight="1">
      <c r="A292" s="89" t="s">
        <v>903</v>
      </c>
      <c r="B292" s="92" t="s">
        <v>904</v>
      </c>
      <c r="C292" s="92">
        <f>"https://www.volpe.dot.gov/events/shelley-francis"</f>
        <v>0</v>
      </c>
      <c r="D292" s="92"/>
      <c r="E292" s="93" t="s">
        <v>905</v>
      </c>
      <c r="F292" s="92" t="s">
        <v>906</v>
      </c>
      <c r="G292" s="119">
        <f>"&amp;hellip; provides opportunities to engage with multi-modal, clean transportation through education and outreach, expanding charging infrastructure, marketing/launches, workplace charging, &amp;hellip;"</f>
        <v>0</v>
      </c>
      <c r="H292" s="104">
        <f>"&lt;b&gt;Dr.&amp;nbsp;Shelley&amp;nbsp;Francis&lt;/b&gt;, co-founder and principal at EVNoire"</f>
        <v>0</v>
      </c>
      <c r="I292" s="123"/>
      <c r="J292" s="97"/>
      <c r="K292" s="124"/>
      <c r="L292" s="113">
        <f>"registration:  https://volpe-events.webex.com/ec3300/eventcenter/enroll/join.do?confId=194694590681333166&amp;theAction=detail&amp;path=program_detail&amp;siteurl=volpe-events&amp;confViewID=194694590681333166&amp;internalProgramTicketUnList=4832534b000000046308844376a8cb409"</f>
        <v>0</v>
      </c>
      <c r="M292" s="113"/>
      <c r="N292" s="116">
        <f>"Series link:  https://www.volpe.dot.gov/events/innovation-for-sustainable-equitable-transportation"</f>
        <v>0</v>
      </c>
      <c r="O292" s="114" t="s">
        <v>181</v>
      </c>
      <c r="P292" s="115" t="s">
        <v>521</v>
      </c>
      <c r="Q292" s="117" t="s">
        <v>182</v>
      </c>
      <c r="R292" s="311" t="s">
        <v>54</v>
      </c>
      <c r="S292" s="87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</row>
    <row r="293" spans="1:64" s="102" customFormat="1" ht="44.25" customHeight="1">
      <c r="A293" s="89" t="s">
        <v>907</v>
      </c>
      <c r="B293" s="90" t="s">
        <v>908</v>
      </c>
      <c r="C293" s="312">
        <f>"https://bbcetc.com/event/from-the-sources-mouth-9-21/"</f>
        <v>0</v>
      </c>
      <c r="D293" s="92"/>
      <c r="E293" s="93" t="s">
        <v>909</v>
      </c>
      <c r="F293" s="92" t="s">
        <v>910</v>
      </c>
      <c r="G293" s="94">
        <f>"This FREE virtual SBIR/STTR training event will feature program managers from across several agencies."</f>
        <v>0</v>
      </c>
      <c r="H293" s="104" t="s">
        <v>911</v>
      </c>
      <c r="I293" s="96"/>
      <c r="J293" s="97"/>
      <c r="K293" s="98"/>
      <c r="L293" s="106"/>
      <c r="M293" s="92"/>
      <c r="N293" s="107"/>
      <c r="O293" s="106" t="s">
        <v>912</v>
      </c>
      <c r="P293" s="92">
        <f>"https://bbcetc.com/"</f>
        <v>0</v>
      </c>
      <c r="Q293" s="107" t="s">
        <v>64</v>
      </c>
      <c r="R293" s="108" t="s">
        <v>65</v>
      </c>
      <c r="S293" s="87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</row>
    <row r="294" spans="1:64" s="102" customFormat="1" ht="41.25" customHeight="1">
      <c r="A294" s="89"/>
      <c r="B294" s="90"/>
      <c r="C294" s="312"/>
      <c r="D294" s="92"/>
      <c r="E294" s="92"/>
      <c r="F294" s="92"/>
      <c r="G294" s="94"/>
      <c r="H294" s="104" t="s">
        <v>913</v>
      </c>
      <c r="I294" s="96"/>
      <c r="J294" s="97"/>
      <c r="K294" s="98"/>
      <c r="L294" s="106"/>
      <c r="M294" s="92"/>
      <c r="N294" s="107"/>
      <c r="O294" s="106"/>
      <c r="P294" s="92"/>
      <c r="Q294" s="107"/>
      <c r="R294" s="108"/>
      <c r="S294" s="87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</row>
    <row r="295" spans="1:64" s="102" customFormat="1" ht="42" customHeight="1">
      <c r="A295" s="89"/>
      <c r="B295" s="90"/>
      <c r="C295" s="312"/>
      <c r="D295" s="92"/>
      <c r="E295" s="92"/>
      <c r="F295" s="92"/>
      <c r="G295" s="94"/>
      <c r="H295" s="104" t="s">
        <v>914</v>
      </c>
      <c r="I295" s="96"/>
      <c r="J295" s="97"/>
      <c r="K295" s="98"/>
      <c r="L295" s="106"/>
      <c r="M295" s="92"/>
      <c r="N295" s="107"/>
      <c r="O295" s="106"/>
      <c r="P295" s="92"/>
      <c r="Q295" s="107"/>
      <c r="R295" s="108"/>
      <c r="S295" s="87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</row>
    <row r="296" spans="1:64" s="102" customFormat="1" ht="90" customHeight="1">
      <c r="A296" s="89" t="s">
        <v>915</v>
      </c>
      <c r="B296" s="92" t="s">
        <v>916</v>
      </c>
      <c r="C296" s="103">
        <f>"https://evtechexpo.com/"</f>
        <v>0</v>
      </c>
      <c r="D296" s="92" t="s">
        <v>791</v>
      </c>
      <c r="E296" s="93" t="s">
        <v>917</v>
      </c>
      <c r="F296" s="92" t="s">
        <v>918</v>
      </c>
      <c r="G296" s="94" t="s">
        <v>919</v>
      </c>
      <c r="H296" s="104" t="s">
        <v>920</v>
      </c>
      <c r="I296" s="96">
        <f>"Registration:  https://www.evtechexpo.com/en/vehicle-technology-registration-inquiry.html"</f>
        <v>0</v>
      </c>
      <c r="J296" s="97">
        <f>"Exhibitors&amp;rsquo; info:  https://www.evtechexpo.com/en/exhibit/why-exhibit-hybrid.html"</f>
        <v>0</v>
      </c>
      <c r="K296" s="98">
        <f>"https://evtechexpo.com/contact-hybrid"</f>
        <v>0</v>
      </c>
      <c r="L296" s="246">
        <f>"Call for Speakers:  https://novi2020.c4p.eesubs.com/"</f>
        <v>0</v>
      </c>
      <c r="M296" s="259"/>
      <c r="N296" s="236" t="s">
        <v>921</v>
      </c>
      <c r="O296" s="106" t="s">
        <v>142</v>
      </c>
      <c r="P296" s="92">
        <f>"https://findmanufacturingbuyers.com/"</f>
        <v>0</v>
      </c>
      <c r="Q296" s="107" t="s">
        <v>53</v>
      </c>
      <c r="R296" s="212" t="s">
        <v>54</v>
      </c>
      <c r="S296" s="87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</row>
    <row r="297" spans="1:64" s="102" customFormat="1" ht="90" customHeight="1">
      <c r="A297" s="197" t="s">
        <v>922</v>
      </c>
      <c r="B297" s="239" t="s">
        <v>923</v>
      </c>
      <c r="C297" s="91">
        <f>"https://thebatteryshow.com/"</f>
        <v>0</v>
      </c>
      <c r="D297" s="92" t="s">
        <v>791</v>
      </c>
      <c r="E297" s="93" t="s">
        <v>917</v>
      </c>
      <c r="F297" s="92" t="s">
        <v>924</v>
      </c>
      <c r="G297" s="198">
        <f>"&amp;hellip; today&amp;rsquo;s battery applications &amp;hellip; don&amp;rsquo;t just power our daily lives &amp;mdash; they transform how we travel, interact, and manufacture."</f>
        <v>0</v>
      </c>
      <c r="H297" s="95" t="s">
        <v>925</v>
      </c>
      <c r="I297" s="256">
        <f>"Registration:  https://www.thebatteryshow.com/en/battery-registration-inquiry.html"</f>
        <v>0</v>
      </c>
      <c r="J297" s="257">
        <f>"Exhibitors&amp;rsquo; info:  https://www.thebatteryshow.com/en/exhibit/why-exhibit.html"</f>
        <v>0</v>
      </c>
      <c r="K297" s="258">
        <f>"https://thebatteryshow.com/contact-battery"</f>
        <v>0</v>
      </c>
      <c r="L297" s="246"/>
      <c r="M297" s="259"/>
      <c r="N297" s="236"/>
      <c r="O297" s="106" t="s">
        <v>497</v>
      </c>
      <c r="P297" s="111">
        <f>"https://www.thebatteryshow.eu/en/Home.html"</f>
        <v>0</v>
      </c>
      <c r="Q297" s="112" t="s">
        <v>53</v>
      </c>
      <c r="R297" s="212" t="s">
        <v>54</v>
      </c>
      <c r="S297" s="87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</row>
    <row r="298" spans="1:64" ht="44.25" customHeight="1">
      <c r="A298" s="89" t="s">
        <v>926</v>
      </c>
      <c r="B298" s="92" t="s">
        <v>927</v>
      </c>
      <c r="C298" s="103">
        <f>"https://www.sae.org/attend/comvec"</f>
        <v>0</v>
      </c>
      <c r="D298" s="92">
        <f>"Rosemont, IL &lt;i&gt;or&lt;/i&gt; online"</f>
        <v>0</v>
      </c>
      <c r="E298" s="93" t="s">
        <v>928</v>
      </c>
      <c r="F298" s="92" t="s">
        <v>929</v>
      </c>
      <c r="G298" s="94">
        <f>"&amp;hellip; increased fuel efficiencies and a more diverse propulsion portfolio of commercial vehicles, &amp;hellip;"</f>
        <v>0</v>
      </c>
      <c r="H298" s="104"/>
      <c r="I298" s="96"/>
      <c r="J298" s="97"/>
      <c r="K298" s="134">
        <f>"http://www.sae.org/events/cve/contact/"</f>
        <v>0</v>
      </c>
      <c r="L298" s="164">
        <f>"Call for Oral-only Presentations on Technical Topics:  https://www.sae.org/binaries/content/assets/cm/content/attend/2018/comvec18/comvec---call-for-presentations.pdf"</f>
        <v>0</v>
      </c>
      <c r="M298" s="151">
        <f>"https://www.sae.org/servlets/techpapers/enterAbstractForPapers.do?method=formView&amp;evtSchedGenNum=252583&amp;prodGrpCd=INTL&amp;evtName=COMVEC"</f>
        <v>0</v>
      </c>
      <c r="N298" s="152" t="s">
        <v>930</v>
      </c>
      <c r="O298" s="106" t="s">
        <v>51</v>
      </c>
      <c r="P298" s="92" t="s">
        <v>52</v>
      </c>
      <c r="Q298" s="107" t="s">
        <v>64</v>
      </c>
      <c r="R298" s="208" t="s">
        <v>65</v>
      </c>
      <c r="S298" s="87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</row>
    <row r="299" spans="1:64" ht="63.75" customHeight="1">
      <c r="A299" s="89"/>
      <c r="B299" s="92"/>
      <c r="C299" s="103"/>
      <c r="D299" s="92"/>
      <c r="E299" s="93"/>
      <c r="F299" s="92"/>
      <c r="G299" s="94"/>
      <c r="H299" s="104"/>
      <c r="I299" s="96"/>
      <c r="J299" s="97"/>
      <c r="K299" s="134">
        <f>"To join Technical Committee:  colette.wright@sae.org"</f>
        <v>0</v>
      </c>
      <c r="L299" s="164"/>
      <c r="M299" s="151"/>
      <c r="N299" s="152"/>
      <c r="O299" s="106"/>
      <c r="P299" s="92"/>
      <c r="Q299" s="107"/>
      <c r="R299" s="208"/>
      <c r="S299" s="87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</row>
    <row r="300" spans="1:64" s="102" customFormat="1" ht="45" customHeight="1">
      <c r="A300" s="89" t="s">
        <v>931</v>
      </c>
      <c r="B300" s="90" t="s">
        <v>932</v>
      </c>
      <c r="C300" s="103">
        <f>"https://digitalrailrevolution.com/"</f>
        <v>0</v>
      </c>
      <c r="D300" s="92"/>
      <c r="E300" s="93" t="s">
        <v>933</v>
      </c>
      <c r="F300" s="92" t="s">
        <v>934</v>
      </c>
      <c r="G300" s="94">
        <f>"The premier gathering for global railway operators and infrastructure owners"</f>
        <v>0</v>
      </c>
      <c r="H300" s="104"/>
      <c r="I300" s="96">
        <f>"Registration (Book now):  https://digitalrailrevolution.com/book-now/"</f>
        <v>0</v>
      </c>
      <c r="J300" s="96"/>
      <c r="K300" s="98">
        <f>"Register interest in Attending, Sponsoring, or Speaking:  https://digitalrailrevolution.com/register-your-interest/"</f>
        <v>0</v>
      </c>
      <c r="L300" s="113"/>
      <c r="M300" s="100"/>
      <c r="N300" s="116"/>
      <c r="O300" s="106" t="s">
        <v>935</v>
      </c>
      <c r="P300" s="92">
        <f>"https://www.globalrailwayreview.com/"</f>
        <v>0</v>
      </c>
      <c r="Q300" s="107" t="s">
        <v>64</v>
      </c>
      <c r="R300" s="208" t="s">
        <v>65</v>
      </c>
      <c r="S300" s="87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</row>
    <row r="301" spans="1:64" s="102" customFormat="1" ht="45" customHeight="1">
      <c r="A301" s="89"/>
      <c r="B301" s="90"/>
      <c r="C301" s="103"/>
      <c r="D301" s="92"/>
      <c r="E301" s="93"/>
      <c r="F301" s="92"/>
      <c r="G301" s="94"/>
      <c r="H301" s="104"/>
      <c r="I301" s="96">
        <f>"Free pass:  https://digitalrailrevolution.com/vip-pass/"</f>
        <v>0</v>
      </c>
      <c r="J301" s="96"/>
      <c r="K301" s="98"/>
      <c r="L301" s="113"/>
      <c r="M301" s="100"/>
      <c r="N301" s="116"/>
      <c r="O301" s="106"/>
      <c r="P301" s="92"/>
      <c r="Q301" s="107"/>
      <c r="R301" s="208"/>
      <c r="S301" s="87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</row>
    <row r="302" spans="1:64" s="102" customFormat="1" ht="39.75" customHeight="1">
      <c r="A302" s="197" t="s">
        <v>936</v>
      </c>
      <c r="B302" s="111" t="s">
        <v>937</v>
      </c>
      <c r="C302" s="91">
        <f>"https://www.sae.org/attend/naipc/"</f>
        <v>0</v>
      </c>
      <c r="D302" s="92" t="s">
        <v>938</v>
      </c>
      <c r="E302" s="93">
        <f>"2021/09/15 – 17"</f>
        <v>0</v>
      </c>
      <c r="F302" s="92" t="s">
        <v>939</v>
      </c>
      <c r="G302" s="119">
        <f>"&amp;hellip; facilitate and encourage critical, open conversations that provide strategic direction for companies to prepare for what lies ahead &amp;hellip;"</f>
        <v>0</v>
      </c>
      <c r="H302" s="104">
        <f>"By invitation only:  https://www.sae.org/attend/naipc/invite"</f>
        <v>0</v>
      </c>
      <c r="I302" s="201"/>
      <c r="J302" s="257"/>
      <c r="K302" s="258"/>
      <c r="L302" s="113"/>
      <c r="M302" s="159"/>
      <c r="N302" s="200"/>
      <c r="O302" s="201" t="s">
        <v>51</v>
      </c>
      <c r="P302" s="111">
        <f>"https://www.sae.org/attend/"</f>
        <v>0</v>
      </c>
      <c r="Q302" s="112" t="s">
        <v>64</v>
      </c>
      <c r="R302" s="108" t="s">
        <v>65</v>
      </c>
      <c r="S302" s="87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</row>
    <row r="303" spans="1:64" s="102" customFormat="1" ht="65.25" customHeight="1">
      <c r="A303" s="197"/>
      <c r="B303" s="111"/>
      <c r="C303" s="91">
        <f>"Alt. Link:  https://10times.com/sae-north-american-international-powertrain-conference"</f>
        <v>0</v>
      </c>
      <c r="D303" s="92"/>
      <c r="E303" s="93"/>
      <c r="F303" s="92"/>
      <c r="G303" s="119"/>
      <c r="H303" s="104"/>
      <c r="I303" s="201"/>
      <c r="J303" s="257"/>
      <c r="K303" s="258"/>
      <c r="L303" s="113"/>
      <c r="M303" s="159"/>
      <c r="N303" s="200"/>
      <c r="O303" s="201"/>
      <c r="P303" s="111"/>
      <c r="Q303" s="112"/>
      <c r="R303" s="108"/>
      <c r="S303" s="87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</row>
    <row r="304" spans="1:19" s="102" customFormat="1" ht="43.5" customHeight="1">
      <c r="A304" s="89" t="s">
        <v>940</v>
      </c>
      <c r="B304" s="92" t="s">
        <v>941</v>
      </c>
      <c r="C304" s="92">
        <f>"https://www.zebconference2021.com/"</f>
        <v>0</v>
      </c>
      <c r="D304" s="92" t="s">
        <v>942</v>
      </c>
      <c r="E304" s="93" t="s">
        <v>943</v>
      </c>
      <c r="F304" s="92" t="s">
        <v>280</v>
      </c>
      <c r="G304" s="119" t="s">
        <v>944</v>
      </c>
      <c r="H304" s="104"/>
      <c r="I304" s="123"/>
      <c r="J304" s="97"/>
      <c r="K304" s="313" t="s">
        <v>945</v>
      </c>
      <c r="L304" s="113">
        <f>"https://www.zebconference2021.com/apply"</f>
        <v>0</v>
      </c>
      <c r="M304" s="100"/>
      <c r="N304" s="116" t="s">
        <v>418</v>
      </c>
      <c r="O304" s="194" t="s">
        <v>146</v>
      </c>
      <c r="P304" s="128">
        <f>"https://avere.org/calendar/"</f>
        <v>0</v>
      </c>
      <c r="Q304" s="156" t="s">
        <v>64</v>
      </c>
      <c r="R304" s="243" t="s">
        <v>65</v>
      </c>
      <c r="S304" s="140"/>
    </row>
    <row r="305" spans="1:64" s="102" customFormat="1" ht="73.5" customHeight="1">
      <c r="A305" s="89" t="s">
        <v>946</v>
      </c>
      <c r="B305" s="90" t="s">
        <v>947</v>
      </c>
      <c r="C305" s="103">
        <f>"https://www.sae.org/learn/content/c1630/"</f>
        <v>0</v>
      </c>
      <c r="D305" s="92" t="s">
        <v>501</v>
      </c>
      <c r="E305" s="93" t="s">
        <v>948</v>
      </c>
      <c r="F305" s="92" t="s">
        <v>949</v>
      </c>
      <c r="G305" s="94" t="s">
        <v>950</v>
      </c>
      <c r="H305" s="104">
        <f>"Instructor: Yuxiang Jiang, Ph.D."</f>
        <v>0</v>
      </c>
      <c r="I305" s="96" t="s">
        <v>951</v>
      </c>
      <c r="J305" s="105"/>
      <c r="K305" s="98"/>
      <c r="L305" s="106" t="s">
        <v>853</v>
      </c>
      <c r="M305" s="111" t="s">
        <v>311</v>
      </c>
      <c r="N305" s="112"/>
      <c r="O305" s="106" t="s">
        <v>171</v>
      </c>
      <c r="P305" s="92" t="s">
        <v>172</v>
      </c>
      <c r="Q305" s="107" t="s">
        <v>64</v>
      </c>
      <c r="R305" s="208" t="s">
        <v>65</v>
      </c>
      <c r="S305" s="87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</row>
    <row r="306" spans="1:64" s="102" customFormat="1" ht="20.25" customHeight="1">
      <c r="A306" s="89" t="s">
        <v>952</v>
      </c>
      <c r="B306" s="90" t="s">
        <v>953</v>
      </c>
      <c r="C306" s="103">
        <f>"https://2021.ieee-itsc.org/"</f>
        <v>0</v>
      </c>
      <c r="D306" s="92" t="s">
        <v>954</v>
      </c>
      <c r="E306" s="93" t="s">
        <v>955</v>
      </c>
      <c r="F306" s="92" t="s">
        <v>956</v>
      </c>
      <c r="G306" s="94">
        <f>"&amp;nbsp; new developments in theory, analytical and numerical simulation and modeling, experimentation, advanced deployment and case studies."</f>
        <v>0</v>
      </c>
      <c r="H306" s="104">
        <f>"Announcement of Hybrid Format:  https://2021.ieee-itsc.org/announcements/important-message-from-the-organizing-committee/"</f>
        <v>0</v>
      </c>
      <c r="I306" s="132" t="s">
        <v>957</v>
      </c>
      <c r="J306" s="97"/>
      <c r="K306" s="98">
        <f>"https://2021.ieee-itsc.org/contact-us/"</f>
        <v>0</v>
      </c>
      <c r="L306" s="113">
        <f>"https://2021.ieee-itsc.org/call-for-paper/"</f>
        <v>0</v>
      </c>
      <c r="M306" s="100"/>
      <c r="N306" s="116" t="s">
        <v>958</v>
      </c>
      <c r="O306" s="106">
        <f>"IEEE Intelligent Transportation Systems Society"</f>
        <v>0</v>
      </c>
      <c r="P306" s="92">
        <f>"Series page:  https://ieee-itsc.org/"</f>
        <v>0</v>
      </c>
      <c r="Q306" s="107" t="s">
        <v>64</v>
      </c>
      <c r="R306" s="208" t="s">
        <v>65</v>
      </c>
      <c r="S306" s="87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</row>
    <row r="307" spans="1:64" s="102" customFormat="1" ht="44.25" customHeight="1">
      <c r="A307" s="89"/>
      <c r="B307" s="90"/>
      <c r="C307" s="103"/>
      <c r="D307" s="92"/>
      <c r="E307" s="93"/>
      <c r="F307" s="92"/>
      <c r="G307" s="94"/>
      <c r="H307" s="104"/>
      <c r="I307" s="132"/>
      <c r="J307" s="97"/>
      <c r="K307" s="98"/>
      <c r="L307" s="113">
        <f>"https://2021.ieee-itsc.org/wp-content/uploads/2021/01/IEEE-ITSC-2021-CFP-01-15-2021-V3.pdf"</f>
        <v>0</v>
      </c>
      <c r="M307" s="100"/>
      <c r="N307" s="116"/>
      <c r="O307" s="106"/>
      <c r="P307" s="92"/>
      <c r="Q307" s="107"/>
      <c r="R307" s="208"/>
      <c r="S307" s="87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</row>
    <row r="308" spans="1:64" ht="21.75" customHeight="1">
      <c r="A308" s="89" t="s">
        <v>959</v>
      </c>
      <c r="B308" s="90" t="s">
        <v>960</v>
      </c>
      <c r="C308" s="177">
        <f>"https://icoet.net/"</f>
        <v>0</v>
      </c>
      <c r="D308" s="92" t="s">
        <v>87</v>
      </c>
      <c r="E308" s="93" t="s">
        <v>961</v>
      </c>
      <c r="F308" s="92" t="s">
        <v>962</v>
      </c>
      <c r="G308" s="94">
        <f>"Transforming Transportation Ecology in the Global Village"</f>
        <v>0</v>
      </c>
      <c r="H308" s="104"/>
      <c r="I308" s="123">
        <f>"About:  https://icoet.net/about"</f>
        <v>0</v>
      </c>
      <c r="J308" s="100">
        <f>"Conference Theme and Topics:  https://icoet.net/2021/theme"</f>
        <v>0</v>
      </c>
      <c r="K308" s="100"/>
      <c r="L308" s="113">
        <f>"https://icoet.net/2021/abstracts"</f>
        <v>0</v>
      </c>
      <c r="M308" s="100">
        <f>"Instructions:  https://icoet.net/sites/default/files/2021-02/Call%20for%20Abstracts%20ICOET%202021.pdf"</f>
        <v>0</v>
      </c>
      <c r="N308" s="116" t="s">
        <v>963</v>
      </c>
      <c r="O308" s="194" t="s">
        <v>118</v>
      </c>
      <c r="P308" s="127" t="s">
        <v>547</v>
      </c>
      <c r="Q308" s="156" t="s">
        <v>64</v>
      </c>
      <c r="R308" s="243" t="s">
        <v>65</v>
      </c>
      <c r="S308" s="87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</row>
    <row r="309" spans="1:64" ht="44.25" customHeight="1">
      <c r="A309" s="89"/>
      <c r="B309" s="90"/>
      <c r="C309" s="177"/>
      <c r="D309" s="92"/>
      <c r="E309" s="92"/>
      <c r="F309" s="92"/>
      <c r="G309" s="94"/>
      <c r="H309" s="104"/>
      <c r="I309" s="123"/>
      <c r="J309" s="100"/>
      <c r="K309" s="100"/>
      <c r="L309" s="113">
        <f>"Abstracts questions:  contact Fraser Shilling   mailto:fmshilling@ucdavis.edu"</f>
        <v>0</v>
      </c>
      <c r="M309" s="100"/>
      <c r="N309" s="116"/>
      <c r="O309" s="194"/>
      <c r="P309" s="127"/>
      <c r="Q309" s="156"/>
      <c r="R309" s="243"/>
      <c r="S309" s="87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</row>
    <row r="310" spans="1:64" s="102" customFormat="1" ht="46.5" customHeight="1">
      <c r="A310" s="89" t="s">
        <v>964</v>
      </c>
      <c r="B310" s="90" t="s">
        <v>965</v>
      </c>
      <c r="C310" s="177">
        <f>"https://www.sae.org/learn/content/c2015/"</f>
        <v>0</v>
      </c>
      <c r="D310" s="92" t="s">
        <v>966</v>
      </c>
      <c r="E310" s="93" t="s">
        <v>967</v>
      </c>
      <c r="F310" s="92" t="s">
        <v>968</v>
      </c>
      <c r="G310" s="94" t="s">
        <v>969</v>
      </c>
      <c r="H310" s="104">
        <f>"&lt;b&gt;Natesa&amp;nbsp;MacRae&lt;/b&gt;, Sr. Researcher, National Research Council of Canada&amp;nbsp;(NRC)."</f>
        <v>0</v>
      </c>
      <c r="I310" s="123"/>
      <c r="J310" s="100"/>
      <c r="K310" s="100"/>
      <c r="L310" s="113" t="s">
        <v>970</v>
      </c>
      <c r="M310" s="100" t="s">
        <v>971</v>
      </c>
      <c r="N310" s="116"/>
      <c r="O310" s="110" t="s">
        <v>171</v>
      </c>
      <c r="P310" s="103" t="s">
        <v>172</v>
      </c>
      <c r="Q310" s="156" t="s">
        <v>64</v>
      </c>
      <c r="R310" s="157" t="s">
        <v>65</v>
      </c>
      <c r="S310" s="87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</row>
    <row r="311" spans="1:64" s="102" customFormat="1" ht="30" customHeight="1">
      <c r="A311" s="89"/>
      <c r="B311" s="90"/>
      <c r="C311" s="177"/>
      <c r="D311" s="92"/>
      <c r="E311" s="92"/>
      <c r="F311" s="92"/>
      <c r="G311" s="94"/>
      <c r="H311" s="104">
        <f>"Erik&amp;nbsp;Spek&lt;/b&gt;, Chief Eng., T&amp;Uuml;V S&amp;Uuml;D Canada"</f>
        <v>0</v>
      </c>
      <c r="I311" s="123"/>
      <c r="J311" s="100"/>
      <c r="K311" s="100"/>
      <c r="L311" s="113"/>
      <c r="M311" s="100"/>
      <c r="N311" s="116"/>
      <c r="O311" s="110"/>
      <c r="P311" s="103"/>
      <c r="Q311" s="156"/>
      <c r="R311" s="157"/>
      <c r="S311" s="87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</row>
    <row r="312" spans="1:64" s="102" customFormat="1" ht="45.75" customHeight="1">
      <c r="A312" s="89"/>
      <c r="B312" s="90"/>
      <c r="C312" s="177"/>
      <c r="D312" s="92"/>
      <c r="E312" s="92"/>
      <c r="F312" s="92"/>
      <c r="G312" s="94"/>
      <c r="H312" s="104">
        <f>"Dr&amp;nbsp;&lt;b&gt;Dacong&amp;nbsp;Weng&lt;/b&gt;, Princ. R&amp;D Eng., Honeywell&amp;nbsp;Aerospace"</f>
        <v>0</v>
      </c>
      <c r="I312" s="123"/>
      <c r="J312" s="100"/>
      <c r="K312" s="100"/>
      <c r="L312" s="113"/>
      <c r="M312" s="100"/>
      <c r="N312" s="116"/>
      <c r="O312" s="110"/>
      <c r="P312" s="103"/>
      <c r="Q312" s="156"/>
      <c r="R312" s="157"/>
      <c r="S312" s="87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</row>
    <row r="313" spans="1:64" s="102" customFormat="1" ht="44.25" customHeight="1">
      <c r="A313" s="89" t="s">
        <v>972</v>
      </c>
      <c r="B313" s="90" t="s">
        <v>973</v>
      </c>
      <c r="C313" s="177">
        <f>"https://tec.ieee.org/education/webinars"</f>
        <v>0</v>
      </c>
      <c r="D313" s="92" t="s">
        <v>966</v>
      </c>
      <c r="E313" s="93" t="s">
        <v>974</v>
      </c>
      <c r="F313" s="92" t="s">
        <v>975</v>
      </c>
      <c r="G313" s="94">
        <f>"&amp;hellip; application of wireless power transfer (WPT) technology in electric transportation &amp;hellip; has gained wider attention."</f>
        <v>0</v>
      </c>
      <c r="H313" s="104" t="s">
        <v>976</v>
      </c>
      <c r="I313" s="123"/>
      <c r="J313" s="100"/>
      <c r="K313" s="100"/>
      <c r="L313" s="113">
        <f>"registration:  https://register.gotowebinar.com/register/629754498158023439"</f>
        <v>0</v>
      </c>
      <c r="M313" s="100"/>
      <c r="N313" s="116"/>
      <c r="O313" s="110" t="s">
        <v>977</v>
      </c>
      <c r="P313" s="103" t="s">
        <v>978</v>
      </c>
      <c r="Q313" s="156" t="s">
        <v>64</v>
      </c>
      <c r="R313" s="157" t="s">
        <v>65</v>
      </c>
      <c r="S313" s="87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</row>
    <row r="314" spans="1:64" s="102" customFormat="1" ht="42.75" customHeight="1">
      <c r="A314" s="89"/>
      <c r="B314" s="90"/>
      <c r="C314" s="177"/>
      <c r="D314" s="92"/>
      <c r="E314" s="93"/>
      <c r="F314" s="92"/>
      <c r="G314" s="94"/>
      <c r="H314" s="104">
        <f>"&lt;b&gt;Grant&amp;nbsp;Covic&lt;/b&gt;, Full Prof., Electr., Comp., &amp; S/W Eng. Dep&amp;rsquo;t, Univ. of Auckland, NZ"</f>
        <v>0</v>
      </c>
      <c r="I314" s="123"/>
      <c r="J314" s="100"/>
      <c r="K314" s="100"/>
      <c r="L314" s="113"/>
      <c r="M314" s="100"/>
      <c r="N314" s="116"/>
      <c r="O314" s="110"/>
      <c r="P314" s="103"/>
      <c r="Q314" s="156"/>
      <c r="R314" s="157"/>
      <c r="S314" s="87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</row>
    <row r="315" spans="1:64" s="102" customFormat="1" ht="33.75" customHeight="1">
      <c r="A315" s="89"/>
      <c r="B315" s="90"/>
      <c r="C315" s="177"/>
      <c r="D315" s="92"/>
      <c r="E315" s="93"/>
      <c r="F315" s="93"/>
      <c r="G315" s="94"/>
      <c r="H315" s="104">
        <f>"&lt;b&gt;Andy&amp;nbsp;Daga&lt;/b&gt;, founder, Pres., &amp; CEO, Momentum&amp;nbsp;Dynamics"</f>
        <v>0</v>
      </c>
      <c r="I315" s="123"/>
      <c r="J315" s="100"/>
      <c r="K315" s="100"/>
      <c r="L315" s="113"/>
      <c r="M315" s="100"/>
      <c r="N315" s="116"/>
      <c r="O315" s="110"/>
      <c r="P315" s="103"/>
      <c r="Q315" s="156"/>
      <c r="R315" s="157"/>
      <c r="S315" s="87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</row>
    <row r="316" spans="1:64" s="102" customFormat="1" ht="32.25" customHeight="1">
      <c r="A316" s="89"/>
      <c r="B316" s="90"/>
      <c r="C316" s="177"/>
      <c r="D316" s="92"/>
      <c r="E316" s="93"/>
      <c r="F316" s="93"/>
      <c r="G316" s="94"/>
      <c r="H316" s="104">
        <f>"&lt;b&gt;Mauricio&amp;nbsp;Esguerra&lt;/b&gt;, Co-Founder &amp; CEO, MAGMENT&amp;nbsp;GmbH"</f>
        <v>0</v>
      </c>
      <c r="I316" s="123"/>
      <c r="J316" s="100"/>
      <c r="K316" s="100"/>
      <c r="L316" s="113"/>
      <c r="M316" s="100"/>
      <c r="N316" s="116"/>
      <c r="O316" s="110"/>
      <c r="P316" s="103"/>
      <c r="Q316" s="156"/>
      <c r="R316" s="157"/>
      <c r="S316" s="87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</row>
    <row r="317" spans="1:64" s="102" customFormat="1" ht="44.25" customHeight="1">
      <c r="A317" s="89"/>
      <c r="B317" s="90"/>
      <c r="C317" s="177"/>
      <c r="D317" s="92"/>
      <c r="E317" s="93"/>
      <c r="F317" s="93"/>
      <c r="G317" s="94"/>
      <c r="H317" s="104">
        <f>"&lt;b&gt;Burak&amp;nbsp;Ozpineci&lt;/b&gt;, Section Head, Veh. &amp; Mobility Syst. Res. Sec., Oak Ridge Nat&amp;rsquo;l Lab.&amp;nbsp;(ORNL)"</f>
        <v>0</v>
      </c>
      <c r="I317" s="123"/>
      <c r="J317" s="100"/>
      <c r="K317" s="100"/>
      <c r="L317" s="113"/>
      <c r="M317" s="100"/>
      <c r="N317" s="116"/>
      <c r="O317" s="110"/>
      <c r="P317" s="103"/>
      <c r="Q317" s="156"/>
      <c r="R317" s="157"/>
      <c r="S317" s="87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</row>
    <row r="318" spans="1:64" s="102" customFormat="1" ht="88.5" customHeight="1">
      <c r="A318" s="89" t="s">
        <v>979</v>
      </c>
      <c r="B318" s="92" t="s">
        <v>980</v>
      </c>
      <c r="C318" s="92">
        <f>"https://www.volpe.dot.gov/events/susan-shaheen"</f>
        <v>0</v>
      </c>
      <c r="D318" s="92"/>
      <c r="E318" s="93" t="s">
        <v>981</v>
      </c>
      <c r="F318" s="92" t="s">
        <v>982</v>
      </c>
      <c r="G318" s="119">
        <f>"&amp;hellip; changing dynamics in shared mobility and likely scenarios automated vehicles might gain prominence."</f>
        <v>0</v>
      </c>
      <c r="H318" s="104">
        <f>"&lt;b&gt;Susan&amp;nbsp;Shaheen&lt;/b&gt;, PhD, Co-Dir., Transp. Sust. Res. Cen., Inst. of Transp. Studies, at UC Berkley"</f>
        <v>0</v>
      </c>
      <c r="I318" s="123"/>
      <c r="J318" s="97"/>
      <c r="K318" s="124"/>
      <c r="L318" s="113">
        <f>"registration: https://volpe-events.webex.com/ec3300/eventcenter/enroll/join.do?confId=194474680851119780&amp;theAction=detail&amp;path=program_detail&amp;siteurl=volpe-events&amp;confViewID=194474680851119780&amp;internalProgramTicketUnList=4832534b000000046308844376a8cb4094"</f>
        <v>0</v>
      </c>
      <c r="M318" s="113"/>
      <c r="N318" s="116">
        <f>"Series link:  https://www.volpe.dot.gov/events/innovation-for-sustainable-equitable-transportation"</f>
        <v>0</v>
      </c>
      <c r="O318" s="114" t="s">
        <v>181</v>
      </c>
      <c r="P318" s="115" t="s">
        <v>521</v>
      </c>
      <c r="Q318" s="117" t="s">
        <v>182</v>
      </c>
      <c r="R318" s="311" t="s">
        <v>54</v>
      </c>
      <c r="S318" s="87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</row>
    <row r="319" spans="1:64" s="102" customFormat="1" ht="19.5" customHeight="1">
      <c r="A319" s="89" t="s">
        <v>983</v>
      </c>
      <c r="B319" s="92" t="s">
        <v>984</v>
      </c>
      <c r="C319" s="103">
        <f>"https://driveelectricweek.org/"</f>
        <v>0</v>
      </c>
      <c r="D319" s="92" t="s">
        <v>985</v>
      </c>
      <c r="E319" s="93" t="s">
        <v>986</v>
      </c>
      <c r="F319" s="92" t="s">
        <v>987</v>
      </c>
      <c r="G319" s="94" t="s">
        <v>988</v>
      </c>
      <c r="H319" s="104"/>
      <c r="I319" s="96"/>
      <c r="J319" s="97"/>
      <c r="K319" s="98"/>
      <c r="L319" s="114">
        <f>"¿2020? Events: https://driveelectricweek.org/events-list"</f>
        <v>0</v>
      </c>
      <c r="M319" s="114"/>
      <c r="N319" s="114"/>
      <c r="O319" s="106" t="s">
        <v>989</v>
      </c>
      <c r="P319" s="92" t="s">
        <v>990</v>
      </c>
      <c r="Q319" s="107" t="s">
        <v>439</v>
      </c>
      <c r="R319" s="118" t="s">
        <v>991</v>
      </c>
      <c r="S319" s="87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</row>
    <row r="320" spans="1:64" s="102" customFormat="1" ht="19.5" customHeight="1">
      <c r="A320" s="89"/>
      <c r="B320" s="92"/>
      <c r="C320" s="103"/>
      <c r="D320" s="92"/>
      <c r="E320" s="93"/>
      <c r="F320" s="92"/>
      <c r="G320" s="94"/>
      <c r="H320" s="104"/>
      <c r="I320" s="96"/>
      <c r="J320" s="97"/>
      <c r="K320" s="98"/>
      <c r="L320" s="314">
        <f>"2020 Events:  https://driveelectricweek.org/events.php?year=2020#search-event"</f>
        <v>0</v>
      </c>
      <c r="M320" s="314"/>
      <c r="N320" s="314"/>
      <c r="O320" s="106"/>
      <c r="P320" s="92"/>
      <c r="Q320" s="107"/>
      <c r="R320" s="118"/>
      <c r="S320" s="87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</row>
    <row r="321" spans="1:64" s="102" customFormat="1" ht="19.5" customHeight="1">
      <c r="A321" s="89"/>
      <c r="B321" s="89"/>
      <c r="C321" s="89"/>
      <c r="D321" s="89"/>
      <c r="E321" s="93"/>
      <c r="F321" s="92"/>
      <c r="G321" s="94"/>
      <c r="H321" s="104"/>
      <c r="I321" s="96"/>
      <c r="J321" s="97"/>
      <c r="K321" s="98"/>
      <c r="L321" s="114">
        <f>"Volunteer to Organize an Event: https://driveelectricweek.org/volunteer.php?register"</f>
        <v>0</v>
      </c>
      <c r="M321" s="114"/>
      <c r="N321" s="114"/>
      <c r="O321" s="106"/>
      <c r="P321" s="92"/>
      <c r="Q321" s="107"/>
      <c r="R321" s="118"/>
      <c r="S321" s="87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</row>
    <row r="322" spans="1:64" s="102" customFormat="1" ht="19.5" customHeight="1">
      <c r="A322" s="89"/>
      <c r="B322" s="89"/>
      <c r="C322" s="89"/>
      <c r="D322" s="89"/>
      <c r="E322" s="93"/>
      <c r="F322" s="92"/>
      <c r="G322" s="94"/>
      <c r="H322" s="104"/>
      <c r="I322" s="96"/>
      <c r="J322" s="97"/>
      <c r="K322" s="98"/>
      <c r="L322" s="114">
        <f>"Learn about Hosting an Event:  https://driveelectricweek.org/resources.php"</f>
        <v>0</v>
      </c>
      <c r="M322" s="114"/>
      <c r="N322" s="114"/>
      <c r="O322" s="106"/>
      <c r="P322" s="92"/>
      <c r="Q322" s="107"/>
      <c r="R322" s="118"/>
      <c r="S322" s="87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</row>
    <row r="323" spans="1:64" s="102" customFormat="1" ht="19.5" customHeight="1">
      <c r="A323" s="89"/>
      <c r="B323" s="89"/>
      <c r="C323" s="89"/>
      <c r="D323" s="89"/>
      <c r="E323" s="93"/>
      <c r="F323" s="92"/>
      <c r="G323" s="94"/>
      <c r="H323" s="104"/>
      <c r="I323" s="96"/>
      <c r="J323" s="97"/>
      <c r="K323" s="98"/>
      <c r="L323" s="114">
        <f>"Sponsorship:  https://driveelectricweek.org/sponsorship.php"</f>
        <v>0</v>
      </c>
      <c r="M323" s="114"/>
      <c r="N323" s="114"/>
      <c r="O323" s="106"/>
      <c r="P323" s="92"/>
      <c r="Q323" s="107"/>
      <c r="R323" s="118"/>
      <c r="S323" s="87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</row>
    <row r="324" spans="1:64" s="102" customFormat="1" ht="32.25" customHeight="1">
      <c r="A324" s="89"/>
      <c r="B324" s="92"/>
      <c r="C324" s="103"/>
      <c r="D324" s="92"/>
      <c r="E324" s="93"/>
      <c r="F324" s="92"/>
      <c r="G324" s="94"/>
      <c r="H324" s="104"/>
      <c r="I324" s="96"/>
      <c r="J324" s="97"/>
      <c r="K324" s="98"/>
      <c r="L324" s="114">
        <f>"Find a local chapter:  https://eaa-1967.clubexpress.com/content.aspx?page_id=225&amp;club_id=222684  (Want to talk to a local EV owner/driver?)"</f>
        <v>0</v>
      </c>
      <c r="M324" s="114"/>
      <c r="N324" s="114"/>
      <c r="O324" s="106"/>
      <c r="P324" s="106"/>
      <c r="Q324" s="107"/>
      <c r="R324" s="118"/>
      <c r="S324" s="87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</row>
    <row r="325" spans="1:64" s="102" customFormat="1" ht="54" customHeight="1">
      <c r="A325" s="89">
        <f>"FAST-Zero '21 &amp;ndash; Future Active Safety Technology"</f>
        <v>0</v>
      </c>
      <c r="B325" s="92" t="s">
        <v>992</v>
      </c>
      <c r="C325" s="103">
        <f>"https://www.fast-zero21.info/index.html"</f>
        <v>0</v>
      </c>
      <c r="D325" s="92" t="s">
        <v>993</v>
      </c>
      <c r="E325" s="93" t="s">
        <v>994</v>
      </c>
      <c r="F325" s="92" t="s">
        <v>995</v>
      </c>
      <c r="G325" s="94">
        <f>"Innovation in the field of active safety is the key driving force towards the ultimate goal of realizing zero traffic accidents."</f>
        <v>0</v>
      </c>
      <c r="H325" s="104"/>
      <c r="I325" s="96"/>
      <c r="J325" s="97"/>
      <c r="K325" s="98"/>
      <c r="L325" s="142"/>
      <c r="M325" s="115"/>
      <c r="N325" s="177"/>
      <c r="O325" s="142" t="s">
        <v>394</v>
      </c>
      <c r="P325" s="115" t="s">
        <v>395</v>
      </c>
      <c r="Q325" s="107" t="s">
        <v>64</v>
      </c>
      <c r="R325" s="118" t="s">
        <v>65</v>
      </c>
      <c r="S325" s="87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</row>
    <row r="326" spans="1:64" s="102" customFormat="1" ht="48.75" customHeight="1">
      <c r="A326" s="89" t="s">
        <v>996</v>
      </c>
      <c r="B326" s="92" t="s">
        <v>997</v>
      </c>
      <c r="C326" s="92">
        <f>"https://events.vtsociety.org/vtc2021-fall/"</f>
        <v>0</v>
      </c>
      <c r="D326" s="92" t="s">
        <v>998</v>
      </c>
      <c r="E326" s="93" t="s">
        <v>999</v>
      </c>
      <c r="F326" s="92" t="s">
        <v>444</v>
      </c>
      <c r="G326" s="94" t="s">
        <v>445</v>
      </c>
      <c r="H326" s="104"/>
      <c r="I326" s="123"/>
      <c r="J326" s="97"/>
      <c r="K326" s="124">
        <f>"Contact form:  https://events.vtsociety.org/vtc2021-fall/contact-us/"</f>
        <v>0</v>
      </c>
      <c r="L326" s="201">
        <f>"https://vtc2021fall.trackchair.com/"</f>
        <v>0</v>
      </c>
      <c r="M326" s="92"/>
      <c r="N326" s="92" t="s">
        <v>1000</v>
      </c>
      <c r="O326" s="110" t="s">
        <v>447</v>
      </c>
      <c r="P326" s="92" t="s">
        <v>448</v>
      </c>
      <c r="Q326" s="156" t="s">
        <v>64</v>
      </c>
      <c r="R326" s="157" t="s">
        <v>65</v>
      </c>
      <c r="S326" s="87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</row>
    <row r="327" spans="1:64" s="102" customFormat="1" ht="64.5" customHeight="1">
      <c r="A327" s="89"/>
      <c r="B327" s="92"/>
      <c r="C327" s="92"/>
      <c r="D327" s="92"/>
      <c r="E327" s="93"/>
      <c r="F327" s="92"/>
      <c r="G327" s="94"/>
      <c r="H327" s="104"/>
      <c r="I327" s="123"/>
      <c r="J327" s="97"/>
      <c r="K327" s="124"/>
      <c r="L327" s="135">
        <f>"Workshop Proposals:  https://events.vtsociety.org/vtc2021-spring/conference-sessions/call-for-workshops/"</f>
        <v>0</v>
      </c>
      <c r="M327" s="128">
        <f>"https://events.vtsociety.org/vtc2021-spring/conference-sessions/workshop-proposal-form/"</f>
        <v>0</v>
      </c>
      <c r="N327" s="128">
        <f>"Workshop Proposals due:  2020/10/12 (extended from 09/21, 09/07)"</f>
        <v>0</v>
      </c>
      <c r="O327" s="110"/>
      <c r="P327" s="92"/>
      <c r="Q327" s="156"/>
      <c r="R327" s="157"/>
      <c r="S327" s="87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</row>
    <row r="328" spans="1:64" s="102" customFormat="1" ht="82.5" customHeight="1">
      <c r="A328" s="89"/>
      <c r="B328" s="92"/>
      <c r="C328" s="92"/>
      <c r="D328" s="92"/>
      <c r="E328" s="93"/>
      <c r="F328" s="92"/>
      <c r="G328" s="94"/>
      <c r="H328" s="104"/>
      <c r="I328" s="123"/>
      <c r="J328" s="97"/>
      <c r="K328" s="124"/>
      <c r="L328" s="106">
        <f>"Workshop Papers:  https://events.vtsociety.org/vtc2021-fall/conference-sessions/call-for-workshops/w1-3rd-workshop-on-connected-intelligence-for-iot-and-industrial-iot-applications-c3ia/"</f>
        <v>0</v>
      </c>
      <c r="M328" s="92">
        <f>"https://vtc2021f-rr-wks.trackchair.com/"</f>
        <v>0</v>
      </c>
      <c r="N328" s="92">
        <f>"5-page paper due: 2021/07/11 (was 07/01) (1-2 extra pages with add&amp;rsquo;l $100/page fee)"</f>
        <v>0</v>
      </c>
      <c r="O328" s="110"/>
      <c r="P328" s="92"/>
      <c r="Q328" s="156"/>
      <c r="R328" s="157"/>
      <c r="S328" s="87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</row>
    <row r="329" spans="1:64" s="102" customFormat="1" ht="36.75" customHeight="1">
      <c r="A329" s="89"/>
      <c r="B329" s="92"/>
      <c r="C329" s="92"/>
      <c r="D329" s="92"/>
      <c r="E329" s="93"/>
      <c r="F329" s="92"/>
      <c r="G329" s="94"/>
      <c r="H329" s="104"/>
      <c r="I329" s="123"/>
      <c r="J329" s="97"/>
      <c r="K329" s="124"/>
      <c r="L329" s="172">
        <f>"tutorials:  https://events.vtsociety.org/vtc2021-spring/conference-sessions/call-for-tutorials/"</f>
        <v>0</v>
      </c>
      <c r="M329" s="128">
        <f>"https://events.vtsociety.org/vtc2021-spring/conference-sessions/call-for-tutorials/tutorial-proposal-submission-form/"</f>
        <v>0</v>
      </c>
      <c r="N329" s="128">
        <f>"2020/10/21"</f>
        <v>0</v>
      </c>
      <c r="O329" s="110"/>
      <c r="P329" s="92"/>
      <c r="Q329" s="156"/>
      <c r="R329" s="157"/>
      <c r="S329" s="87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</row>
    <row r="330" spans="1:64" ht="36.75" customHeight="1">
      <c r="A330" s="89"/>
      <c r="B330" s="92"/>
      <c r="C330" s="92"/>
      <c r="D330" s="92"/>
      <c r="E330" s="93"/>
      <c r="F330" s="92"/>
      <c r="G330" s="94"/>
      <c r="H330" s="104"/>
      <c r="I330" s="123"/>
      <c r="J330" s="97"/>
      <c r="K330" s="124"/>
      <c r="L330" s="172"/>
      <c r="M330" s="128"/>
      <c r="N330" s="128">
        <f>"Request for full proposal notification:  2019/11/05"</f>
        <v>0</v>
      </c>
      <c r="O330" s="110"/>
      <c r="P330" s="92"/>
      <c r="Q330" s="156"/>
      <c r="R330" s="157"/>
      <c r="S330" s="87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</row>
    <row r="331" spans="1:64" s="102" customFormat="1" ht="60" customHeight="1">
      <c r="A331" s="89"/>
      <c r="B331" s="92"/>
      <c r="C331" s="92"/>
      <c r="D331" s="92"/>
      <c r="E331" s="93"/>
      <c r="F331" s="92"/>
      <c r="G331" s="94"/>
      <c r="H331" s="104"/>
      <c r="I331" s="123"/>
      <c r="J331" s="97"/>
      <c r="K331" s="124"/>
      <c r="L331" s="201">
        <f>"Recent Results (oral or poster presentation accompanied by a paper in the proceedings, or a demo accompanied by a short paper): https://events.vtsociety.org/vtc2021-spring/authors/call-for-papers/"</f>
        <v>0</v>
      </c>
      <c r="M331" s="92">
        <f>"https://vtc2021s-rr-wks.trackchair.com/"</f>
        <v>0</v>
      </c>
      <c r="N331" s="92">
        <f>"Two-page abstract due 2021/07/11 (was 01/10)"</f>
        <v>0</v>
      </c>
      <c r="O331" s="110"/>
      <c r="P331" s="92"/>
      <c r="Q331" s="156"/>
      <c r="R331" s="157"/>
      <c r="S331" s="87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</row>
    <row r="332" spans="1:64" ht="54.75" customHeight="1">
      <c r="A332" s="89"/>
      <c r="B332" s="92"/>
      <c r="C332" s="92"/>
      <c r="D332" s="92"/>
      <c r="E332" s="92"/>
      <c r="F332" s="92"/>
      <c r="G332" s="94"/>
      <c r="H332" s="104"/>
      <c r="I332" s="123"/>
      <c r="J332" s="97"/>
      <c r="K332" s="124"/>
      <c r="L332" s="172">
        <f>"IEEE VTS Student Travel Grant (Undergrad or Grad, must present paper, maximum $1000):  https://vtc2020s-rr-wks.trackchair.com/track/1891"</f>
        <v>0</v>
      </c>
      <c r="M332" s="128">
        <f>"https://vtc2020s-rr-wks.trackchair.com/track/1891/submit"</f>
        <v>0</v>
      </c>
      <c r="N332" s="128" t="s">
        <v>449</v>
      </c>
      <c r="O332" s="110"/>
      <c r="P332" s="92"/>
      <c r="Q332" s="156"/>
      <c r="R332" s="157"/>
      <c r="S332" s="87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</row>
    <row r="333" spans="1:64" s="102" customFormat="1" ht="39.75" customHeight="1">
      <c r="A333" s="89" t="s">
        <v>1001</v>
      </c>
      <c r="B333" s="92" t="s">
        <v>1002</v>
      </c>
      <c r="C333" s="103">
        <f>"https://www.nationalacademies.org/event/09-27-2021/trb-webinar-innovations-in-using-vehicle-probe-connected-vehicles-and-cellular-data"</f>
        <v>0</v>
      </c>
      <c r="D333" s="92"/>
      <c r="E333" s="93" t="s">
        <v>1003</v>
      </c>
      <c r="F333" s="92" t="s">
        <v>1004</v>
      </c>
      <c r="G333" s="94">
        <f>"&amp;hellip; DOTs have begun to use vehicle probe and cellular global position system (GPS) data for a variety of purposes &amp;hellip;"</f>
        <v>0</v>
      </c>
      <c r="H333" s="95">
        <f>"&lt;b&gt;Michael&amp;nbsp;Pack&lt;/b&gt;, Res. Eng&amp;rsquo;r, CATT (Cen. for Adv. Transp. Techn.) Lab., Univ. of Maryland"</f>
        <v>0</v>
      </c>
      <c r="I333" s="123" t="s">
        <v>860</v>
      </c>
      <c r="J333" s="97"/>
      <c r="K333" s="310">
        <f>"mailto:trbwebinar@nas.edu"</f>
        <v>0</v>
      </c>
      <c r="L333" s="114">
        <f>"Mandatory Registration:  https://www.mytrb.org/?WebinarTarget=https://webinar.mytrb.org/Webinars/Register/1528"</f>
        <v>0</v>
      </c>
      <c r="M333" s="100">
        <f>"Based on report:  &amp;ldquo;Use of Vehicle Probe and Cellular GPS Data by State Departments of Transportation&amp;rdquo;"</f>
        <v>0</v>
      </c>
      <c r="N333" s="100"/>
      <c r="O333" s="106" t="s">
        <v>118</v>
      </c>
      <c r="P333" s="92" t="s">
        <v>547</v>
      </c>
      <c r="Q333" s="107" t="s">
        <v>64</v>
      </c>
      <c r="R333" s="108" t="s">
        <v>65</v>
      </c>
      <c r="S333" s="87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</row>
    <row r="334" spans="1:64" s="102" customFormat="1" ht="38.25" customHeight="1">
      <c r="A334" s="89"/>
      <c r="B334" s="92"/>
      <c r="C334" s="103"/>
      <c r="D334" s="92"/>
      <c r="E334" s="93"/>
      <c r="F334" s="92"/>
      <c r="G334" s="94"/>
      <c r="H334" s="95">
        <f>"&lt;b&gt;Nikola&amp;nbsp;Ivanov&lt;/b&gt;, Dir. Op&amp;rsquo;s/COO, CATT Lab., Univ. of Maryland"</f>
        <v>0</v>
      </c>
      <c r="I334" s="123"/>
      <c r="J334" s="97"/>
      <c r="K334" s="310"/>
      <c r="L334" s="114"/>
      <c r="M334" s="100"/>
      <c r="N334" s="100"/>
      <c r="O334" s="106"/>
      <c r="P334" s="92"/>
      <c r="Q334" s="107"/>
      <c r="R334" s="108"/>
      <c r="S334" s="87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</row>
    <row r="335" spans="1:64" s="102" customFormat="1" ht="53.25" customHeight="1">
      <c r="A335" s="89"/>
      <c r="B335" s="92"/>
      <c r="C335" s="103"/>
      <c r="D335" s="92"/>
      <c r="E335" s="93"/>
      <c r="F335" s="92"/>
      <c r="G335" s="94"/>
      <c r="H335" s="95">
        <f>"&lt;b&gt;Taran &amp;nbsp;Hutchinson&lt;/b&gt;, Facilitator, Metr. Area Transp. Op&amp;rsquo;s Coordination, Univ. of Maryland"</f>
        <v>0</v>
      </c>
      <c r="I335" s="123"/>
      <c r="J335" s="97"/>
      <c r="K335" s="310"/>
      <c r="L335" s="114" t="s">
        <v>1005</v>
      </c>
      <c r="M335" s="100">
        <f>"Login to download report:  https://www.nap.edu/login.php?record_id=26094"</f>
        <v>0</v>
      </c>
      <c r="N335" s="100"/>
      <c r="O335" s="106"/>
      <c r="P335" s="92"/>
      <c r="Q335" s="107"/>
      <c r="R335" s="108"/>
      <c r="S335" s="87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</row>
    <row r="336" spans="1:64" s="102" customFormat="1" ht="40.5" customHeight="1">
      <c r="A336" s="89"/>
      <c r="B336" s="92"/>
      <c r="C336" s="103"/>
      <c r="D336" s="92"/>
      <c r="E336" s="93"/>
      <c r="F336" s="93"/>
      <c r="G336" s="94"/>
      <c r="H336" s="95">
        <f>"Q &amp; A Moderated by:&amp;nbsp; &lt;b&gt;Bob&amp;nbsp;Frey&lt;/b&gt;, Dir. Proj.-Orienter Planning, MassDoT"</f>
        <v>0</v>
      </c>
      <c r="I336" s="123"/>
      <c r="J336" s="97"/>
      <c r="K336" s="310"/>
      <c r="L336" s="114"/>
      <c r="M336" s="100"/>
      <c r="N336" s="100"/>
      <c r="O336" s="106"/>
      <c r="P336" s="92"/>
      <c r="Q336" s="107"/>
      <c r="R336" s="108"/>
      <c r="S336" s="87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</row>
    <row r="337" spans="1:64" s="102" customFormat="1" ht="53.25" customHeight="1">
      <c r="A337" s="89" t="s">
        <v>1006</v>
      </c>
      <c r="B337" s="92" t="s">
        <v>1007</v>
      </c>
      <c r="C337" s="103">
        <f>"https://www.nationalacademies.org/event/09-28-2021/trb-webinar-trid-and-reference-management-software"</f>
        <v>0</v>
      </c>
      <c r="D337" s="92"/>
      <c r="E337" s="93" t="s">
        <v>1008</v>
      </c>
      <c r="F337" s="92" t="s">
        <v>1009</v>
      </c>
      <c r="G337" s="94" t="s">
        <v>1010</v>
      </c>
      <c r="H337" s="95" t="s">
        <v>1011</v>
      </c>
      <c r="I337" s="123"/>
      <c r="J337" s="97"/>
      <c r="K337" s="310">
        <f>"mailto:eferrell@nas.edu"</f>
        <v>0</v>
      </c>
      <c r="L337" s="184">
        <f>"Mandatory Free Registration: https://www.nationalacademies.org/event/09-28-2021/trb-webinar-trid-and-reference-management-software"</f>
        <v>0</v>
      </c>
      <c r="M337" s="100"/>
      <c r="N337" s="116"/>
      <c r="O337" s="106" t="s">
        <v>118</v>
      </c>
      <c r="P337" s="92" t="s">
        <v>547</v>
      </c>
      <c r="Q337" s="107" t="s">
        <v>64</v>
      </c>
      <c r="R337" s="108" t="s">
        <v>65</v>
      </c>
      <c r="S337" s="87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</row>
    <row r="338" spans="1:64" s="102" customFormat="1" ht="40.5" customHeight="1">
      <c r="A338" s="89"/>
      <c r="B338" s="92"/>
      <c r="C338" s="103"/>
      <c r="D338" s="92"/>
      <c r="E338" s="93"/>
      <c r="F338" s="93"/>
      <c r="G338" s="94"/>
      <c r="H338" s="95" t="s">
        <v>1012</v>
      </c>
      <c r="I338" s="123"/>
      <c r="J338" s="97"/>
      <c r="K338" s="310"/>
      <c r="L338" s="114">
        <f>"2019&amp;rsquo;s Guide to RiP Database:  http://onlinepubs.trb.org/onlinepubs/webinars/190828.pdf  (28 pp.)"</f>
        <v>0</v>
      </c>
      <c r="M338" s="100"/>
      <c r="N338" s="100"/>
      <c r="O338" s="106"/>
      <c r="P338" s="92"/>
      <c r="Q338" s="107"/>
      <c r="R338" s="108"/>
      <c r="S338" s="87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</row>
    <row r="339" spans="1:64" ht="48.75" customHeight="1">
      <c r="A339" s="89" t="s">
        <v>1013</v>
      </c>
      <c r="B339" s="90" t="s">
        <v>1014</v>
      </c>
      <c r="C339" s="103">
        <f>"https://www.sae.org/attend/pfl/"</f>
        <v>0</v>
      </c>
      <c r="D339" s="92" t="s">
        <v>1015</v>
      </c>
      <c r="E339" s="93" t="s">
        <v>1016</v>
      </c>
      <c r="F339" s="92" t="s">
        <v>1017</v>
      </c>
      <c r="G339" s="94">
        <f>"&amp;hellip; new and emerging powertrain technologies related to engine design, fuels, lubricants, combustion, and emissions control  &amp;hellip;"</f>
        <v>0</v>
      </c>
      <c r="H339" s="104"/>
      <c r="I339" s="96"/>
      <c r="J339" s="97"/>
      <c r="K339" s="98">
        <f>"registration:  https://www.sae.org/attend/pfl/attend/registration"</f>
        <v>0</v>
      </c>
      <c r="L339" s="164">
        <f>"Call for Papers / Presentations:  https://www.sae.org/binaries/content/assets/cm/content/attend/2020/pfl/2020-pfl-cfp-final.pdf"</f>
        <v>0</v>
      </c>
      <c r="M339" s="151">
        <f>"https://www.sae.org/servlets/techpapers/enterAbstractForPapers.do?method=formView&amp;evtSchedGenNum=277225&amp;prodGrpCd=SPEC&amp;evtName=FFL"</f>
        <v>0</v>
      </c>
      <c r="N339" s="152">
        <f>"Portal for abstracts opens:  2019/09/23"</f>
        <v>0</v>
      </c>
      <c r="O339" s="106" t="s">
        <v>51</v>
      </c>
      <c r="P339" s="92" t="s">
        <v>52</v>
      </c>
      <c r="Q339" s="107" t="s">
        <v>64</v>
      </c>
      <c r="R339" s="108" t="s">
        <v>65</v>
      </c>
      <c r="S339" s="87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</row>
    <row r="340" spans="1:18" ht="48.75" customHeight="1">
      <c r="A340" s="89"/>
      <c r="B340" s="90"/>
      <c r="C340" s="103"/>
      <c r="D340" s="92"/>
      <c r="E340" s="93" t="s">
        <v>1018</v>
      </c>
      <c r="F340" s="92"/>
      <c r="G340" s="94"/>
      <c r="H340" s="104"/>
      <c r="I340" s="96"/>
      <c r="J340" s="97"/>
      <c r="K340" s="98"/>
      <c r="L340" s="164"/>
      <c r="M340" s="151"/>
      <c r="N340" s="152">
        <f>"Paper offers:  2020/02/18"</f>
        <v>0</v>
      </c>
      <c r="O340" s="106"/>
      <c r="P340" s="92"/>
      <c r="Q340" s="107"/>
      <c r="R340" s="108"/>
    </row>
    <row r="341" spans="1:19" s="102" customFormat="1" ht="60.75" customHeight="1">
      <c r="A341" s="89" t="s">
        <v>1019</v>
      </c>
      <c r="B341" s="90" t="s">
        <v>1020</v>
      </c>
      <c r="C341" s="103">
        <f>"https://www.sae.org/learn/content/c1912/"</f>
        <v>0</v>
      </c>
      <c r="D341" s="92" t="s">
        <v>966</v>
      </c>
      <c r="E341" s="93" t="s">
        <v>1021</v>
      </c>
      <c r="F341" s="92" t="s">
        <v>1022</v>
      </c>
      <c r="G341" s="198" t="s">
        <v>504</v>
      </c>
      <c r="H341" s="95" t="s">
        <v>896</v>
      </c>
      <c r="I341" s="256"/>
      <c r="J341" s="257"/>
      <c r="K341" s="258"/>
      <c r="L341" s="158" t="s">
        <v>310</v>
      </c>
      <c r="M341" s="159" t="s">
        <v>311</v>
      </c>
      <c r="N341" s="200"/>
      <c r="O341" s="201" t="s">
        <v>171</v>
      </c>
      <c r="P341" s="111" t="s">
        <v>172</v>
      </c>
      <c r="Q341" s="112" t="s">
        <v>64</v>
      </c>
      <c r="R341" s="108" t="s">
        <v>65</v>
      </c>
      <c r="S341" s="140"/>
    </row>
    <row r="342" spans="1:64" s="102" customFormat="1" ht="29.25" customHeight="1">
      <c r="A342" s="89" t="s">
        <v>105</v>
      </c>
      <c r="B342" s="90" t="s">
        <v>106</v>
      </c>
      <c r="C342" s="103">
        <f>"https://siat.araiindia.com/"</f>
        <v>0</v>
      </c>
      <c r="D342" s="92" t="s">
        <v>107</v>
      </c>
      <c r="E342" s="93">
        <f>"2021/09/29  – 2020/10/01 (postponed from 2021/01/20–22)"</f>
        <v>0</v>
      </c>
      <c r="F342" s="92" t="s">
        <v>109</v>
      </c>
      <c r="G342" s="94" t="s">
        <v>1023</v>
      </c>
      <c r="H342" s="104"/>
      <c r="I342" s="96"/>
      <c r="J342" s="97"/>
      <c r="K342" s="98"/>
      <c r="L342" s="113">
        <f>"Third Announcement:  https://siat.araiindia.com/Third%20Announcement%202021.pdf"</f>
        <v>0</v>
      </c>
      <c r="M342" s="100">
        <f>"mailto:siat2021@araiindia.com"</f>
        <v>0</v>
      </c>
      <c r="N342" s="116">
        <f>"Abstracts due 2020/10/31 (extended from 06/15 and 04/15)"</f>
        <v>0</v>
      </c>
      <c r="O342" s="106" t="s">
        <v>51</v>
      </c>
      <c r="P342" s="92" t="s">
        <v>52</v>
      </c>
      <c r="Q342" s="107" t="s">
        <v>64</v>
      </c>
      <c r="R342" s="108" t="s">
        <v>65</v>
      </c>
      <c r="S342" s="87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</row>
    <row r="343" spans="1:64" s="102" customFormat="1" ht="102" customHeight="1">
      <c r="A343" s="89"/>
      <c r="B343" s="90"/>
      <c r="C343" s="103"/>
      <c r="D343" s="92"/>
      <c r="E343" s="92"/>
      <c r="F343" s="92"/>
      <c r="G343" s="94"/>
      <c r="H343" s="104"/>
      <c r="I343" s="96"/>
      <c r="J343" s="97"/>
      <c r="K343" s="98"/>
      <c r="L343" s="113"/>
      <c r="M343" s="100">
        <f>"https://www.sae.org/servlets/techpapers/enterAbstractForPapers.do?method=formView&amp;evtSchedGenNum=311051&amp;prodGrpCd=SPEC&amp;evtName=SIAT"</f>
        <v>0</v>
      </c>
      <c r="N343" s="116"/>
      <c r="O343" s="106"/>
      <c r="P343" s="92"/>
      <c r="Q343" s="107"/>
      <c r="R343" s="107"/>
      <c r="S343" s="87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</row>
    <row r="344" spans="1:18" ht="73.5" customHeight="1">
      <c r="A344" s="315" t="s">
        <v>1024</v>
      </c>
      <c r="B344" s="154" t="s">
        <v>1025</v>
      </c>
      <c r="C344" s="316">
        <f>"http://www.evshow.ro/"</f>
        <v>0</v>
      </c>
      <c r="D344" s="154" t="s">
        <v>1026</v>
      </c>
      <c r="E344" s="299" t="s">
        <v>1027</v>
      </c>
      <c r="F344" s="154" t="s">
        <v>1028</v>
      </c>
      <c r="G344" s="272" t="s">
        <v>1029</v>
      </c>
      <c r="H344" s="245"/>
      <c r="I344" s="153"/>
      <c r="J344" s="121"/>
      <c r="K344" s="317">
        <f>"http://www.evshow.ro/contact/ (with map)"</f>
        <v>0</v>
      </c>
      <c r="L344" s="246">
        <f>"Call for abstracts:  http://www.evshow.ro/call-for-papers/"</f>
        <v>0</v>
      </c>
      <c r="M344" s="259">
        <f>"Author&amp;rsquo;s guide:  http://www.evshow.ro/call-for-abstracts/"</f>
        <v>0</v>
      </c>
      <c r="N344" s="236" t="s">
        <v>1030</v>
      </c>
      <c r="O344" s="153" t="s">
        <v>1031</v>
      </c>
      <c r="P344" s="154">
        <f>"http://aver.ro/"</f>
        <v>0</v>
      </c>
      <c r="Q344" s="318" t="s">
        <v>53</v>
      </c>
      <c r="R344" s="319" t="s">
        <v>65</v>
      </c>
    </row>
    <row r="345" spans="1:18" ht="43.5" customHeight="1">
      <c r="A345" s="315"/>
      <c r="B345" s="154"/>
      <c r="C345" s="316"/>
      <c r="D345" s="154"/>
      <c r="E345" s="154"/>
      <c r="F345" s="154"/>
      <c r="G345" s="272"/>
      <c r="H345" s="245"/>
      <c r="I345" s="153"/>
      <c r="J345" s="121"/>
      <c r="K345" s="317"/>
      <c r="L345" s="246">
        <f>"Oral Presentations:  http://www.evshow.ro/call-for-papers/ (scroll down)"</f>
        <v>0</v>
      </c>
      <c r="M345" s="259" t="s">
        <v>1032</v>
      </c>
      <c r="N345" s="236" t="s">
        <v>1033</v>
      </c>
      <c r="O345" s="153"/>
      <c r="P345" s="154"/>
      <c r="Q345" s="318"/>
      <c r="R345" s="319"/>
    </row>
    <row r="346" spans="1:18" ht="29.25" customHeight="1">
      <c r="A346" s="315"/>
      <c r="B346" s="154"/>
      <c r="C346" s="316"/>
      <c r="D346" s="154"/>
      <c r="E346" s="154"/>
      <c r="F346" s="154"/>
      <c r="G346" s="272"/>
      <c r="H346" s="245"/>
      <c r="I346" s="153"/>
      <c r="J346" s="121"/>
      <c r="K346" s="317"/>
      <c r="L346" s="246">
        <f>"Posters:  http://www.evshow.ro/call-for-papers/ (scroll down)"</f>
        <v>0</v>
      </c>
      <c r="M346" s="259" t="s">
        <v>1034</v>
      </c>
      <c r="N346" s="236" t="s">
        <v>1033</v>
      </c>
      <c r="O346" s="153"/>
      <c r="P346" s="154"/>
      <c r="Q346" s="318"/>
      <c r="R346" s="319"/>
    </row>
    <row r="347" spans="1:64" s="102" customFormat="1" ht="109.5" customHeight="1">
      <c r="A347" s="89" t="s">
        <v>474</v>
      </c>
      <c r="B347" s="90" t="s">
        <v>475</v>
      </c>
      <c r="C347" s="103">
        <f>"https://sveq.ebems.com/home.html"</f>
        <v>0</v>
      </c>
      <c r="D347" s="92" t="s">
        <v>476</v>
      </c>
      <c r="E347" s="93" t="s">
        <v>1035</v>
      </c>
      <c r="F347" s="92" t="s">
        <v>478</v>
      </c>
      <c r="G347" s="94" t="s">
        <v>438</v>
      </c>
      <c r="H347" s="213"/>
      <c r="I347" s="96"/>
      <c r="J347" s="97"/>
      <c r="K347" s="98">
        <f>"https://sveq.ebems.com/contact-en.html"</f>
        <v>0</v>
      </c>
      <c r="L347" s="158">
        <f>"Exhibitors&amp;rsquo; info:  https://sveq.ebems.com/exhibitors/general-informations.html"</f>
        <v>0</v>
      </c>
      <c r="M347" s="159"/>
      <c r="N347" s="200"/>
      <c r="O347" s="106" t="s">
        <v>298</v>
      </c>
      <c r="P347" s="92">
        <f>"https://emc-mec.ca/event/"</f>
        <v>0</v>
      </c>
      <c r="Q347" s="107" t="s">
        <v>439</v>
      </c>
      <c r="R347" s="118" t="s">
        <v>54</v>
      </c>
      <c r="S347" s="87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</row>
    <row r="348" spans="1:64" ht="60" customHeight="1">
      <c r="A348" s="89" t="s">
        <v>1036</v>
      </c>
      <c r="B348" s="92" t="s">
        <v>1037</v>
      </c>
      <c r="C348" s="92">
        <f>"https://www.itsworldcongress.com/"</f>
        <v>0</v>
      </c>
      <c r="D348" s="92" t="s">
        <v>1038</v>
      </c>
      <c r="E348" s="93" t="s">
        <v>1039</v>
      </c>
      <c r="F348" s="92" t="s">
        <v>1040</v>
      </c>
      <c r="G348" s="94" t="s">
        <v>1041</v>
      </c>
      <c r="H348" s="95">
        <f>"Open Day:  #ITS-Europe-Open-Day"</f>
        <v>0</v>
      </c>
      <c r="I348" s="123"/>
      <c r="J348" s="97"/>
      <c r="K348" s="124">
        <f>"Why Attend:  https://www.itsworldcongress.com/why-attend/"</f>
        <v>0</v>
      </c>
      <c r="L348" s="106">
        <f>"Call for Contributions:  https://itsworldcongress.com/wp-content/uploads/2020/10/ITS-Hamburg-Call-for-Contributions-A4-Brochure-V5-1.pdf  (.pdf 26 pages)"</f>
        <v>0</v>
      </c>
      <c r="M348" s="92">
        <f>"Portal:  https://itscongress.mci-events.eu/eSites/571725/Homepage"</f>
        <v>0</v>
      </c>
      <c r="N348" s="92" t="s">
        <v>1042</v>
      </c>
      <c r="O348" s="110" t="s">
        <v>596</v>
      </c>
      <c r="P348" s="92">
        <f>"https://ertico.com/"</f>
        <v>0</v>
      </c>
      <c r="Q348" s="156" t="s">
        <v>64</v>
      </c>
      <c r="R348" s="157" t="s">
        <v>65</v>
      </c>
      <c r="S348" s="87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</row>
    <row r="349" spans="1:64" ht="36.75" customHeight="1">
      <c r="A349" s="89"/>
      <c r="B349" s="92"/>
      <c r="C349" s="92"/>
      <c r="D349" s="92"/>
      <c r="E349" s="93"/>
      <c r="F349" s="92"/>
      <c r="G349" s="94"/>
      <c r="H349" s="95"/>
      <c r="I349" s="123"/>
      <c r="J349" s="97"/>
      <c r="K349" s="124"/>
      <c r="L349" s="106">
        <f>"Instructions:  https://itscongress.mci-events.eu/eSites/571725/Instructions%20for%20Submitters"</f>
        <v>0</v>
      </c>
      <c r="M349" s="92">
        <f>".doc Template:  https://na-admin.eventscloud.com/docs/7666/itshmaburg2021papertemplate"</f>
        <v>0</v>
      </c>
      <c r="N349" s="92"/>
      <c r="O349" s="110"/>
      <c r="P349" s="92"/>
      <c r="Q349" s="156"/>
      <c r="R349" s="157"/>
      <c r="S349" s="87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</row>
    <row r="350" spans="1:64" ht="28.5" customHeight="1">
      <c r="A350" s="89"/>
      <c r="B350" s="92"/>
      <c r="C350" s="92"/>
      <c r="D350" s="92"/>
      <c r="E350" s="93"/>
      <c r="F350" s="92"/>
      <c r="G350" s="94"/>
      <c r="H350" s="95"/>
      <c r="I350" s="123"/>
      <c r="J350" s="97"/>
      <c r="K350" s="124"/>
      <c r="L350" s="106">
        <f>"Topics:  https://itsworldcongress.com/congress-topics/"</f>
        <v>0</v>
      </c>
      <c r="M350" s="92"/>
      <c r="N350" s="92"/>
      <c r="O350" s="110"/>
      <c r="P350" s="92"/>
      <c r="Q350" s="156"/>
      <c r="R350" s="157"/>
      <c r="S350" s="87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</row>
    <row r="351" spans="1:64" s="102" customFormat="1" ht="67.5" customHeight="1">
      <c r="A351" s="89"/>
      <c r="B351" s="92"/>
      <c r="C351" s="92">
        <f>"https://erticonetwork.com/connect-innovate-and-grow-your-start-up-at-the-2021-its-world-congress/"</f>
        <v>0</v>
      </c>
      <c r="D351" s="92"/>
      <c r="E351" s="92"/>
      <c r="F351" s="92"/>
      <c r="G351" s="94">
        <f>"Connect, Innovate and Grow your Start-up at the 2021 ITS World Congress"</f>
        <v>0</v>
      </c>
      <c r="H351" s="95"/>
      <c r="I351" s="123"/>
      <c r="J351" s="97"/>
      <c r="K351" s="124"/>
      <c r="L351" s="106">
        <f>"Apply to be one of 60 Startups to be Showcased in Hamburg"</f>
        <v>0</v>
      </c>
      <c r="M351" s="92">
        <f>"https://www.surveymonkey.de/r/SFXFDG9"</f>
        <v>0</v>
      </c>
      <c r="N351" s="92" t="s">
        <v>1043</v>
      </c>
      <c r="O351" s="110"/>
      <c r="P351" s="92"/>
      <c r="Q351" s="156"/>
      <c r="R351" s="157"/>
      <c r="S351" s="87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</row>
    <row r="352" spans="1:64" s="102" customFormat="1" ht="65.25" customHeight="1">
      <c r="A352" s="89" t="s">
        <v>1044</v>
      </c>
      <c r="B352" s="90" t="s">
        <v>1045</v>
      </c>
      <c r="C352" s="103">
        <f>"http://transportationcamp.org/events/nyc-2021/"</f>
        <v>0</v>
      </c>
      <c r="D352" s="92" t="s">
        <v>1046</v>
      </c>
      <c r="E352" s="93" t="s">
        <v>1047</v>
      </c>
      <c r="F352" s="92" t="s">
        <v>89</v>
      </c>
      <c r="G352" s="94">
        <f>"&amp;hellip; for this year&amp;rsquo;s camp we are &amp;hellip; also bringing back special outdoor pre-camp events for participants to reunite after a year apart and celebrate the seventh consecutive year of Camp."</f>
        <v>0</v>
      </c>
      <c r="H352" s="131">
        <f>"registration:  https://www.eventbrite.com/e/transportationcamp-phl-summer-gathering-2021-registration-159229380363?aff=transportationcampdotorg"</f>
        <v>0</v>
      </c>
      <c r="I352" s="96"/>
      <c r="J352" s="105"/>
      <c r="K352" s="117">
        <f>"Series link:  http://transportationcamp.org/"</f>
        <v>0</v>
      </c>
      <c r="L352" s="106">
        <f>"Essential guide:  http://transportationcamp.org/2011/02/how-transportationcamp-works-the-essential-guide/"</f>
        <v>0</v>
      </c>
      <c r="M352" s="92">
        <f>"Scholarship Essay Opportunity! &lt;/b&gt;&lt;i&gt;(Student&amp;nbsp;Competition)&lt;/i&gt; due 2021/10/13 (was, briefly, 10/11)"</f>
        <v>0</v>
      </c>
      <c r="N352" s="116">
        <f>"Apply:  https://docs.google.com/forms/d/e/1FAIpQLSe7xjOEjrJxmWA7nKletI5vVb-t5-1-Jam8az5Tc5O2OdFYYg/viewform"</f>
        <v>0</v>
      </c>
      <c r="O352" s="106"/>
      <c r="P352" s="92"/>
      <c r="Q352" s="107" t="s">
        <v>53</v>
      </c>
      <c r="R352" s="118" t="s">
        <v>91</v>
      </c>
      <c r="S352" s="87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</row>
    <row r="353" spans="1:64" s="102" customFormat="1" ht="63" customHeight="1">
      <c r="A353" s="89"/>
      <c r="B353" s="90"/>
      <c r="C353" s="90"/>
      <c r="D353" s="92">
        <f>"Urban Tech Hub, 335 Madison Avenue, NYC 10017"</f>
        <v>0</v>
      </c>
      <c r="E353" s="93" t="s">
        <v>1048</v>
      </c>
      <c r="F353" s="92"/>
      <c r="G353" s="94">
        <f>"Outdoor Pre-event Gathering"</f>
        <v>0</v>
      </c>
      <c r="H353" s="131"/>
      <c r="I353" s="96"/>
      <c r="J353" s="105"/>
      <c r="K353" s="117"/>
      <c r="L353" s="106"/>
      <c r="M353" s="92"/>
      <c r="N353" s="92"/>
      <c r="O353" s="106"/>
      <c r="P353" s="92"/>
      <c r="Q353" s="107"/>
      <c r="R353" s="118"/>
      <c r="S353" s="87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</row>
    <row r="354" spans="1:64" s="102" customFormat="1" ht="37.5" customHeight="1">
      <c r="A354" s="89"/>
      <c r="B354" s="90"/>
      <c r="C354" s="90"/>
      <c r="D354" s="92" t="s">
        <v>48</v>
      </c>
      <c r="E354" s="93" t="s">
        <v>1049</v>
      </c>
      <c r="F354" s="92"/>
      <c r="G354" s="94" t="s">
        <v>1050</v>
      </c>
      <c r="H354" s="131"/>
      <c r="I354" s="96"/>
      <c r="J354" s="105"/>
      <c r="K354" s="117"/>
      <c r="L354" s="106"/>
      <c r="M354" s="92"/>
      <c r="N354" s="92"/>
      <c r="O354" s="106"/>
      <c r="P354" s="92"/>
      <c r="Q354" s="107"/>
      <c r="R354" s="118"/>
      <c r="S354" s="87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</row>
    <row r="355" spans="1:64" s="102" customFormat="1" ht="60" customHeight="1">
      <c r="A355" s="89"/>
      <c r="B355" s="90"/>
      <c r="C355" s="90"/>
      <c r="D355" s="92">
        <f>"55 Water Street, Elevated Acre, NYC 10041"</f>
        <v>0</v>
      </c>
      <c r="E355" s="93" t="s">
        <v>1051</v>
      </c>
      <c r="F355" s="92"/>
      <c r="G355" s="94" t="s">
        <v>1052</v>
      </c>
      <c r="H355" s="131"/>
      <c r="I355" s="96"/>
      <c r="J355" s="105"/>
      <c r="K355" s="117"/>
      <c r="L355" s="106"/>
      <c r="M355" s="92"/>
      <c r="N355" s="92"/>
      <c r="O355" s="106"/>
      <c r="P355" s="92"/>
      <c r="Q355" s="107"/>
      <c r="R355" s="118"/>
      <c r="S355" s="87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</row>
    <row r="356" spans="1:64" s="102" customFormat="1" ht="52.5" customHeight="1">
      <c r="A356" s="89" t="s">
        <v>370</v>
      </c>
      <c r="B356" s="90" t="s">
        <v>1053</v>
      </c>
      <c r="C356" s="103">
        <f>"https://www.sae.org/learn/content/c2001/"</f>
        <v>0</v>
      </c>
      <c r="D356" s="92" t="s">
        <v>581</v>
      </c>
      <c r="E356" s="93" t="s">
        <v>1054</v>
      </c>
      <c r="F356" s="92" t="s">
        <v>374</v>
      </c>
      <c r="G356" s="94" t="s">
        <v>375</v>
      </c>
      <c r="H356" s="104" t="s">
        <v>376</v>
      </c>
      <c r="I356" s="96"/>
      <c r="J356" s="105"/>
      <c r="K356" s="98"/>
      <c r="L356" s="113" t="s">
        <v>169</v>
      </c>
      <c r="M356" s="159" t="s">
        <v>170</v>
      </c>
      <c r="N356" s="200">
        <f>"Instructor: Yves Racette"</f>
        <v>0</v>
      </c>
      <c r="O356" s="106" t="s">
        <v>171</v>
      </c>
      <c r="P356" s="92">
        <f>"https://www.sae.org/learn/professional-development"</f>
        <v>0</v>
      </c>
      <c r="Q356" s="107" t="s">
        <v>64</v>
      </c>
      <c r="R356" s="108" t="s">
        <v>65</v>
      </c>
      <c r="S356" s="87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</row>
    <row r="357" spans="1:64" s="102" customFormat="1" ht="62.25" customHeight="1">
      <c r="A357" s="89" t="s">
        <v>560</v>
      </c>
      <c r="B357" s="92" t="s">
        <v>350</v>
      </c>
      <c r="C357" s="92">
        <f>"https://techconnectworld.com/World2021/"</f>
        <v>0</v>
      </c>
      <c r="D357" s="92" t="s">
        <v>1055</v>
      </c>
      <c r="E357" s="93" t="s">
        <v>1056</v>
      </c>
      <c r="F357" s="92" t="s">
        <v>563</v>
      </c>
      <c r="G357" s="94">
        <f>"&amp;hellip; the premier innovation commercialization and networking event in the US. &lt;font size=2&gt;&amp;mdash; BASF&lt;/font&gt;"</f>
        <v>0</v>
      </c>
      <c r="H357" s="104" t="s">
        <v>1057</v>
      </c>
      <c r="I357" s="123"/>
      <c r="J357" s="97"/>
      <c r="K357" s="124">
        <f>"https://techconnectworld.com/World2021/contact.html"</f>
        <v>0</v>
      </c>
      <c r="L357" s="181">
        <f>"Abstract submissions"</f>
        <v>0</v>
      </c>
      <c r="M357" s="115">
        <f>"https://techconnectworld.com/World2021/participate/authors/"</f>
        <v>0</v>
      </c>
      <c r="N357" s="271" t="s">
        <v>1058</v>
      </c>
      <c r="O357" s="110" t="s">
        <v>350</v>
      </c>
      <c r="P357" s="92">
        <f>"https://techconnect.org/events/"</f>
        <v>0</v>
      </c>
      <c r="Q357" s="156" t="s">
        <v>64</v>
      </c>
      <c r="R357" s="157" t="s">
        <v>65</v>
      </c>
      <c r="S357" s="87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</row>
    <row r="358" spans="1:64" s="102" customFormat="1" ht="36.75" customHeight="1">
      <c r="A358" s="89"/>
      <c r="B358" s="92"/>
      <c r="C358" s="92"/>
      <c r="D358" s="92"/>
      <c r="E358" s="93"/>
      <c r="F358" s="92"/>
      <c r="G358" s="94"/>
      <c r="H358" s="104"/>
      <c r="I358" s="123"/>
      <c r="J358" s="97"/>
      <c r="K358" s="124"/>
      <c r="L358" s="181">
        <f>"Call for Posters"</f>
        <v>0</v>
      </c>
      <c r="M358" s="115"/>
      <c r="N358" s="271" t="s">
        <v>1059</v>
      </c>
      <c r="O358" s="110"/>
      <c r="P358" s="92"/>
      <c r="Q358" s="156"/>
      <c r="R358" s="157"/>
      <c r="S358" s="87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</row>
    <row r="359" spans="1:64" s="102" customFormat="1" ht="52.5" customHeight="1">
      <c r="A359" s="89"/>
      <c r="B359" s="92"/>
      <c r="C359" s="92"/>
      <c r="D359" s="92"/>
      <c r="E359" s="93"/>
      <c r="F359" s="92"/>
      <c r="G359" s="94"/>
      <c r="H359" s="104"/>
      <c r="I359" s="123"/>
      <c r="J359" s="97"/>
      <c r="K359" s="124"/>
      <c r="L359" s="181">
        <f>"Innovation Submissions"</f>
        <v>0</v>
      </c>
      <c r="M359" s="115">
        <f>"https://techconnectworld.com/World2021/participate/innovation/form.html"</f>
        <v>0</v>
      </c>
      <c r="N359" s="271">
        <f>"2021/06/25 (Extended from 05/26)"</f>
        <v>0</v>
      </c>
      <c r="O359" s="110"/>
      <c r="P359" s="92"/>
      <c r="Q359" s="156"/>
      <c r="R359" s="157"/>
      <c r="S359" s="87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</row>
    <row r="360" spans="1:64" s="102" customFormat="1" ht="22.5" customHeight="1">
      <c r="A360" s="89"/>
      <c r="B360" s="92"/>
      <c r="C360" s="92"/>
      <c r="D360" s="92"/>
      <c r="E360" s="93"/>
      <c r="F360" s="92"/>
      <c r="G360" s="94"/>
      <c r="H360" s="104"/>
      <c r="I360" s="123"/>
      <c r="J360" s="97"/>
      <c r="K360" s="124"/>
      <c r="L360" s="142">
        <f>"Review Committee:  https://techconnectworld.com/World2021/about/committee.html"</f>
        <v>0</v>
      </c>
      <c r="M360" s="142"/>
      <c r="N360" s="142"/>
      <c r="O360" s="110"/>
      <c r="P360" s="92"/>
      <c r="Q360" s="156"/>
      <c r="R360" s="157"/>
      <c r="S360" s="87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</row>
    <row r="361" spans="1:64" ht="73.5" customHeight="1">
      <c r="A361" s="89" t="s">
        <v>569</v>
      </c>
      <c r="B361" s="92"/>
      <c r="C361" s="92">
        <f>"https://techconnectworld.com/SBIRSpring2021/"</f>
        <v>0</v>
      </c>
      <c r="D361" s="92"/>
      <c r="E361" s="93"/>
      <c r="F361" s="92"/>
      <c r="G361" s="94" t="s">
        <v>565</v>
      </c>
      <c r="H361" s="104"/>
      <c r="I361" s="123"/>
      <c r="J361" s="97"/>
      <c r="K361" s="124"/>
      <c r="L361" s="320">
        <f>"SBIR Fast Track Innovation Showcase:  https://techconnectworld.com/World2020/participate/innovation/sbir-fast-track.html      (6/29-30 only)"</f>
        <v>0</v>
      </c>
      <c r="M361" s="230"/>
      <c r="N361" s="321" t="s">
        <v>567</v>
      </c>
      <c r="O361" s="110"/>
      <c r="P361" s="92"/>
      <c r="Q361" s="156"/>
      <c r="R361" s="157"/>
      <c r="S361" s="87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</row>
    <row r="362" spans="1:64" ht="48.75" customHeight="1">
      <c r="A362" s="89">
        <f>"AI TechConnect 2021 Conference and Expo"</f>
        <v>0</v>
      </c>
      <c r="B362" s="92"/>
      <c r="C362" s="92">
        <f>"https://events.techconnect.org/AISpring/"</f>
        <v>0</v>
      </c>
      <c r="D362" s="92"/>
      <c r="E362" s="93"/>
      <c r="F362" s="92"/>
      <c r="G362" s="198">
        <f>"AI &amp; Machine Learning:&amp;nbsp; Accelerating Industry Solutions."</f>
        <v>0</v>
      </c>
      <c r="H362" s="104"/>
      <c r="I362" s="123"/>
      <c r="J362" s="97"/>
      <c r="K362" s="124"/>
      <c r="L362" s="320">
        <f>"Innovation Showcase:  https://techconnectworld.com/World2020/participate/innovation/"</f>
        <v>0</v>
      </c>
      <c r="M362" s="230">
        <f>"https://techconnectworld.com/World2020/participate/innovation/form.html"</f>
        <v>0</v>
      </c>
      <c r="N362" s="321" t="s">
        <v>570</v>
      </c>
      <c r="O362" s="110"/>
      <c r="P362" s="92"/>
      <c r="Q362" s="156"/>
      <c r="R362" s="157"/>
      <c r="S362" s="87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</row>
    <row r="363" spans="1:64" s="102" customFormat="1" ht="73.5" customHeight="1">
      <c r="A363" s="89">
        <f>"NanoTech 2021 Conference and Expo"</f>
        <v>0</v>
      </c>
      <c r="B363" s="92"/>
      <c r="C363" s="92">
        <f>"https://techconnectworld.com/Nanotech2021/"</f>
        <v>0</v>
      </c>
      <c r="D363" s="92"/>
      <c r="E363" s="93"/>
      <c r="F363" s="92"/>
      <c r="G363" s="198" t="s">
        <v>566</v>
      </c>
      <c r="H363" s="104"/>
      <c r="I363" s="123"/>
      <c r="J363" s="97"/>
      <c r="K363" s="124">
        <f>"https://techconnectworld.com/Nanotech2021/contact.html"</f>
        <v>0</v>
      </c>
      <c r="L363" s="181" t="s">
        <v>1060</v>
      </c>
      <c r="M363" s="115"/>
      <c r="N363" s="271"/>
      <c r="O363" s="110"/>
      <c r="P363" s="92"/>
      <c r="Q363" s="156"/>
      <c r="R363" s="157"/>
      <c r="S363" s="87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</row>
    <row r="364" spans="1:64" s="102" customFormat="1" ht="29.25" customHeight="1">
      <c r="A364" s="89">
        <f>"Charged Mgazine&amp;rsquo;s October 2021 Conference Sessions"</f>
        <v>0</v>
      </c>
      <c r="B364" s="90" t="s">
        <v>377</v>
      </c>
      <c r="C364" s="103">
        <f>"https://chargedevs.com/sessions/"</f>
        <v>0</v>
      </c>
      <c r="D364" s="92"/>
      <c r="E364" s="93" t="s">
        <v>1061</v>
      </c>
      <c r="F364" s="92" t="s">
        <v>379</v>
      </c>
      <c r="G364" s="94">
        <f>"Sign-up now to build your schedule.&amp;nbsp; IT&amp;rsquo;S FREE!"</f>
        <v>0</v>
      </c>
      <c r="H364" s="104">
        <f>"All live webcast sessions will be recorded and available to watch on-demand after the event. Register below to watch a session live or on-demand."</f>
        <v>0</v>
      </c>
      <c r="I364" s="96"/>
      <c r="J364" s="105"/>
      <c r="K364" s="98">
        <f>"https://chargedevs.com/conference-contact"</f>
        <v>0</v>
      </c>
      <c r="L364" s="113">
        <f>"Registration:  https://chargedevs.com/register/"</f>
        <v>0</v>
      </c>
      <c r="M364" s="100"/>
      <c r="N364" s="116"/>
      <c r="O364" s="106" t="s">
        <v>75</v>
      </c>
      <c r="P364" s="92" t="s">
        <v>380</v>
      </c>
      <c r="Q364" s="107" t="s">
        <v>64</v>
      </c>
      <c r="R364" s="108" t="s">
        <v>65</v>
      </c>
      <c r="S364" s="87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</row>
    <row r="365" spans="1:64" s="102" customFormat="1" ht="65.25" customHeight="1">
      <c r="A365" s="89"/>
      <c r="B365" s="90"/>
      <c r="C365" s="103"/>
      <c r="D365" s="92"/>
      <c r="E365" s="93"/>
      <c r="F365" s="92"/>
      <c r="G365" s="94"/>
      <c r="H365" s="104"/>
      <c r="I365" s="96"/>
      <c r="J365" s="105"/>
      <c r="K365" s="98"/>
      <c r="L365" s="113"/>
      <c r="M365" s="100"/>
      <c r="N365" s="116"/>
      <c r="O365" s="106"/>
      <c r="P365" s="92"/>
      <c r="Q365" s="107"/>
      <c r="R365" s="108"/>
      <c r="S365" s="87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</row>
    <row r="366" spans="1:64" s="102" customFormat="1" ht="58.5" customHeight="1">
      <c r="A366" s="89" t="s">
        <v>794</v>
      </c>
      <c r="B366" s="90" t="s">
        <v>1062</v>
      </c>
      <c r="C366" s="103">
        <f>"https://www.sae.org/learn/content/c1732/"</f>
        <v>0</v>
      </c>
      <c r="D366" s="92" t="s">
        <v>581</v>
      </c>
      <c r="E366" s="93" t="s">
        <v>1063</v>
      </c>
      <c r="F366" s="92" t="s">
        <v>797</v>
      </c>
      <c r="G366" s="94" t="s">
        <v>798</v>
      </c>
      <c r="H366" s="104" t="s">
        <v>799</v>
      </c>
      <c r="I366" s="96"/>
      <c r="J366" s="105"/>
      <c r="K366" s="98"/>
      <c r="L366" s="113" t="s">
        <v>169</v>
      </c>
      <c r="M366" s="159" t="s">
        <v>170</v>
      </c>
      <c r="N366" s="200">
        <f aca="true" t="shared" si="5" ref="N366:N367">"Instructor: Dr. Mark Quarto"</f>
        <v>0</v>
      </c>
      <c r="O366" s="106" t="s">
        <v>171</v>
      </c>
      <c r="P366" s="92">
        <f aca="true" t="shared" si="6" ref="P366:P367">"https://www.sae.org/learn/professional-development"</f>
        <v>0</v>
      </c>
      <c r="Q366" s="107" t="s">
        <v>64</v>
      </c>
      <c r="R366" s="108" t="s">
        <v>65</v>
      </c>
      <c r="S366" s="87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</row>
    <row r="367" spans="1:64" s="102" customFormat="1" ht="63.75" customHeight="1">
      <c r="A367" s="89" t="s">
        <v>801</v>
      </c>
      <c r="B367" s="90" t="s">
        <v>1064</v>
      </c>
      <c r="C367" s="103">
        <f>"https://www.sae.org/learn/content/c1504/"</f>
        <v>0</v>
      </c>
      <c r="D367" s="92" t="s">
        <v>581</v>
      </c>
      <c r="E367" s="93" t="s">
        <v>1065</v>
      </c>
      <c r="F367" s="92" t="s">
        <v>797</v>
      </c>
      <c r="G367" s="94" t="s">
        <v>804</v>
      </c>
      <c r="H367" s="104" t="s">
        <v>799</v>
      </c>
      <c r="I367" s="96"/>
      <c r="J367" s="105"/>
      <c r="K367" s="98"/>
      <c r="L367" s="113" t="s">
        <v>806</v>
      </c>
      <c r="M367" s="159" t="s">
        <v>329</v>
      </c>
      <c r="N367" s="200">
        <f t="shared" si="5"/>
        <v>0</v>
      </c>
      <c r="O367" s="106" t="s">
        <v>171</v>
      </c>
      <c r="P367" s="92">
        <f t="shared" si="6"/>
        <v>0</v>
      </c>
      <c r="Q367" s="107" t="s">
        <v>64</v>
      </c>
      <c r="R367" s="108" t="s">
        <v>65</v>
      </c>
      <c r="S367" s="87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</row>
    <row r="368" spans="1:64" s="102" customFormat="1" ht="54" customHeight="1">
      <c r="A368" s="128" t="s">
        <v>1066</v>
      </c>
      <c r="B368" s="128" t="s">
        <v>1067</v>
      </c>
      <c r="C368" s="128">
        <f>"https://www.sae.org/learn/content/c1704/"</f>
        <v>0</v>
      </c>
      <c r="D368" s="128" t="s">
        <v>1068</v>
      </c>
      <c r="E368" s="129" t="s">
        <v>1069</v>
      </c>
      <c r="F368" s="128" t="s">
        <v>1070</v>
      </c>
      <c r="G368" s="191" t="s">
        <v>1071</v>
      </c>
      <c r="H368" s="170" t="s">
        <v>1072</v>
      </c>
      <c r="I368" s="192" t="s">
        <v>1073</v>
      </c>
      <c r="J368" s="133"/>
      <c r="K368" s="322"/>
      <c r="L368" s="164" t="s">
        <v>1074</v>
      </c>
      <c r="M368" s="151" t="s">
        <v>170</v>
      </c>
      <c r="N368" s="323"/>
      <c r="O368" s="194" t="s">
        <v>171</v>
      </c>
      <c r="P368" s="128" t="s">
        <v>172</v>
      </c>
      <c r="Q368" s="324" t="s">
        <v>64</v>
      </c>
      <c r="R368" s="137" t="s">
        <v>65</v>
      </c>
      <c r="S368" s="87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</row>
    <row r="369" spans="1:64" s="102" customFormat="1" ht="46.5" customHeight="1">
      <c r="A369" s="175">
        <f>"INVESTIGATE with Long Island Paranormal Investigators"</f>
        <v>0</v>
      </c>
      <c r="B369" s="176" t="s">
        <v>1075</v>
      </c>
      <c r="C369" s="177">
        <f>"https://teslasciencecenter.org/events/investigate/"</f>
        <v>0</v>
      </c>
      <c r="D369" s="115" t="s">
        <v>661</v>
      </c>
      <c r="E369" s="93" t="s">
        <v>1076</v>
      </c>
      <c r="F369" s="92" t="s">
        <v>1077</v>
      </c>
      <c r="G369" s="160">
        <f>"Explore Wardenclyffe with the team from LIPI for a thrilling investigative experience!"</f>
        <v>0</v>
      </c>
      <c r="H369" s="161">
        <f>"Become a member:  https://teslasciencecenter.org/become-a-member/"</f>
        <v>0</v>
      </c>
      <c r="I369" s="96"/>
      <c r="J369" s="97"/>
      <c r="K369" s="98">
        <f>"mailto:events@teslasciencecenter.org"</f>
        <v>0</v>
      </c>
      <c r="L369" s="99">
        <f>"Tour I, member:  https://teslasciencecenter.app.neoncrm.com/eventReg.jsp?event=1152&amp;"</f>
        <v>0</v>
      </c>
      <c r="M369" s="100">
        <f>"Member tickets:  $60 Adult &amp;bull; $55 Youth (ages 10-17)"</f>
        <v>0</v>
      </c>
      <c r="N369" s="325"/>
      <c r="O369" s="114" t="s">
        <v>665</v>
      </c>
      <c r="P369" s="115" t="s">
        <v>826</v>
      </c>
      <c r="Q369" s="185" t="s">
        <v>439</v>
      </c>
      <c r="R369" s="185" t="s">
        <v>991</v>
      </c>
      <c r="S369" s="87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</row>
    <row r="370" spans="1:64" s="102" customFormat="1" ht="46.5" customHeight="1">
      <c r="A370" s="175"/>
      <c r="B370" s="176"/>
      <c r="C370" s="177"/>
      <c r="D370" s="115"/>
      <c r="E370" s="93"/>
      <c r="F370" s="92"/>
      <c r="G370" s="160"/>
      <c r="H370" s="161"/>
      <c r="I370" s="96"/>
      <c r="J370" s="97"/>
      <c r="K370" s="98"/>
      <c r="L370" s="99">
        <f>"Tour I, regular:  https://teslasciencecenter.app.neoncrm.com/eventReg.jsp?event=1137&amp;"</f>
        <v>0</v>
      </c>
      <c r="M370" s="100"/>
      <c r="N370" s="325"/>
      <c r="O370" s="114"/>
      <c r="P370" s="115"/>
      <c r="Q370" s="185"/>
      <c r="R370" s="185"/>
      <c r="S370" s="87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</row>
    <row r="371" spans="1:64" s="102" customFormat="1" ht="46.5" customHeight="1">
      <c r="A371" s="175"/>
      <c r="B371" s="176"/>
      <c r="C371" s="177"/>
      <c r="D371" s="115"/>
      <c r="E371" s="93">
        <f>"Tour I:  19:30 – 20:30"</f>
        <v>0</v>
      </c>
      <c r="F371" s="92"/>
      <c r="G371" s="160"/>
      <c r="H371" s="161"/>
      <c r="I371" s="96"/>
      <c r="J371" s="97"/>
      <c r="K371" s="98"/>
      <c r="L371" s="99">
        <f>"Tour II, member:  https://teslasciencecenter.app.neoncrm.com/eventReg.jsp?event=1147&amp;"</f>
        <v>0</v>
      </c>
      <c r="M371" s="100">
        <f>"Regular Tickets:  $66 Adult &amp;bull; $63 Senior/Veteran/Student (w/ID) &amp;bull; $60 Youth (ages 10-17)"</f>
        <v>0</v>
      </c>
      <c r="N371" s="325"/>
      <c r="O371" s="114"/>
      <c r="P371" s="115"/>
      <c r="Q371" s="185"/>
      <c r="R371" s="185"/>
      <c r="S371" s="87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</row>
    <row r="372" spans="1:64" s="102" customFormat="1" ht="46.5" customHeight="1">
      <c r="A372" s="175"/>
      <c r="B372" s="176"/>
      <c r="C372" s="177"/>
      <c r="D372" s="115"/>
      <c r="E372" s="178">
        <f>"Tour II:  21:00 – 22:00"</f>
        <v>0</v>
      </c>
      <c r="F372" s="92"/>
      <c r="G372" s="160"/>
      <c r="H372" s="161"/>
      <c r="I372" s="96"/>
      <c r="J372" s="97"/>
      <c r="K372" s="98"/>
      <c r="L372" s="99">
        <f>"Tour II, regular:  https://teslasciencecenter.app.neoncrm.com/eventReg.jsp?event=1142&amp;"</f>
        <v>0</v>
      </c>
      <c r="M372" s="100"/>
      <c r="N372" s="325"/>
      <c r="O372" s="114"/>
      <c r="P372" s="115"/>
      <c r="Q372" s="185"/>
      <c r="R372" s="185"/>
      <c r="S372" s="87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</row>
    <row r="373" spans="1:64" s="102" customFormat="1" ht="66" customHeight="1">
      <c r="A373" s="89" t="s">
        <v>1078</v>
      </c>
      <c r="B373" s="90" t="s">
        <v>1079</v>
      </c>
      <c r="C373" s="103">
        <f>"https://events.vtsociety.org/vppc2021/"</f>
        <v>0</v>
      </c>
      <c r="D373" s="92" t="s">
        <v>1080</v>
      </c>
      <c r="E373" s="93" t="s">
        <v>1081</v>
      </c>
      <c r="F373" s="92" t="s">
        <v>1082</v>
      </c>
      <c r="G373" s="94" t="s">
        <v>1083</v>
      </c>
      <c r="H373" s="104"/>
      <c r="I373" s="96"/>
      <c r="J373" s="105"/>
      <c r="K373" s="98"/>
      <c r="L373" s="113">
        <f>"https://vppc2021.trackchair.com/"</f>
        <v>0</v>
      </c>
      <c r="M373" s="100"/>
      <c r="N373" s="116" t="s">
        <v>1084</v>
      </c>
      <c r="O373" s="110" t="s">
        <v>447</v>
      </c>
      <c r="P373" s="92" t="s">
        <v>448</v>
      </c>
      <c r="Q373" s="156" t="s">
        <v>64</v>
      </c>
      <c r="R373" s="157" t="s">
        <v>65</v>
      </c>
      <c r="S373" s="87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</row>
    <row r="374" spans="1:64" s="102" customFormat="1" ht="49.5" customHeight="1">
      <c r="A374" s="89"/>
      <c r="B374" s="90"/>
      <c r="C374" s="103"/>
      <c r="D374" s="92"/>
      <c r="E374" s="92"/>
      <c r="F374" s="92"/>
      <c r="G374" s="94"/>
      <c r="H374" s="104"/>
      <c r="I374" s="96"/>
      <c r="J374" s="105"/>
      <c r="K374" s="98"/>
      <c r="L374" s="113">
        <f>"Special Session Proposals:  https://events.vtsociety.org/vppc2021/conference-sessions/call-for-specialsessions/"</f>
        <v>0</v>
      </c>
      <c r="M374" s="100" t="s">
        <v>1085</v>
      </c>
      <c r="N374" s="100" t="s">
        <v>1086</v>
      </c>
      <c r="O374" s="110"/>
      <c r="P374" s="92"/>
      <c r="Q374" s="156"/>
      <c r="R374" s="157"/>
      <c r="S374" s="87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</row>
    <row r="375" spans="1:64" s="102" customFormat="1" ht="39" customHeight="1">
      <c r="A375" s="89"/>
      <c r="B375" s="90"/>
      <c r="C375" s="103"/>
      <c r="D375" s="92"/>
      <c r="E375" s="92"/>
      <c r="F375" s="92"/>
      <c r="G375" s="94"/>
      <c r="H375" s="104"/>
      <c r="I375" s="96"/>
      <c r="J375" s="105"/>
      <c r="K375" s="98"/>
      <c r="L375" s="113">
        <f>"Tutorial proposals:  https://events.vtsociety.org/vppc2021/conference-sessions/call-for-tutorials/"</f>
        <v>0</v>
      </c>
      <c r="M375" s="100"/>
      <c r="N375" s="100" t="s">
        <v>1087</v>
      </c>
      <c r="O375" s="110"/>
      <c r="P375" s="92"/>
      <c r="Q375" s="156"/>
      <c r="R375" s="157"/>
      <c r="S375" s="87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</row>
    <row r="376" spans="1:64" s="102" customFormat="1" ht="79.5" customHeight="1">
      <c r="A376" s="89"/>
      <c r="B376" s="90"/>
      <c r="C376" s="103"/>
      <c r="D376" s="92"/>
      <c r="E376" s="92"/>
      <c r="F376" s="92"/>
      <c r="G376" s="94"/>
      <c r="H376" s="104"/>
      <c r="I376" s="96"/>
      <c r="J376" s="105"/>
      <c r="K376" s="98"/>
      <c r="L376" s="113">
        <f>"Special-Event Proposals:  https://events.vtsociety.org/vppc2021/conference-sessions/special-events/"</f>
        <v>0</v>
      </c>
      <c r="M376" s="100">
        <f>"https://events.vtsociety.org/vppc2021/conference-sessions/special-events/special-event-proposal-form/"</f>
        <v>0</v>
      </c>
      <c r="N376" s="100" t="s">
        <v>1088</v>
      </c>
      <c r="O376" s="110"/>
      <c r="P376" s="92"/>
      <c r="Q376" s="156"/>
      <c r="R376" s="157"/>
      <c r="S376" s="87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</row>
    <row r="377" spans="1:64" s="102" customFormat="1" ht="57" customHeight="1">
      <c r="A377" s="89"/>
      <c r="B377" s="90"/>
      <c r="C377" s="103"/>
      <c r="D377" s="92"/>
      <c r="E377" s="92"/>
      <c r="F377" s="92"/>
      <c r="G377" s="94"/>
      <c r="H377" s="104"/>
      <c r="I377" s="96"/>
      <c r="J377" s="105"/>
      <c r="K377" s="98"/>
      <c r="L377" s="113">
        <f>"Recent Results – Full Papers up to 6 pages.  Up to 2 addt’l pages at $100 apiece.  https://events.vtsociety.org/vppc2020/authors/call-for-recent-results-now-open/"</f>
        <v>0</v>
      </c>
      <c r="M377" s="100">
        <f>"https://events.vtsociety.org/vppc2021/authors/call-for-recent-results-now-open/"</f>
        <v>0</v>
      </c>
      <c r="N377" s="116" t="s">
        <v>1089</v>
      </c>
      <c r="O377" s="110"/>
      <c r="P377" s="92"/>
      <c r="Q377" s="156"/>
      <c r="R377" s="157"/>
      <c r="S377" s="87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</row>
    <row r="378" spans="1:64" s="102" customFormat="1" ht="37.5" customHeight="1">
      <c r="A378" s="89" t="s">
        <v>1090</v>
      </c>
      <c r="B378" s="90" t="s">
        <v>1091</v>
      </c>
      <c r="C378" s="103">
        <f>"https://informaconnect.com/future-trends-world-summit/"</f>
        <v>0</v>
      </c>
      <c r="D378" s="92"/>
      <c r="E378" s="93" t="s">
        <v>1092</v>
      </c>
      <c r="F378" s="92" t="s">
        <v>1093</v>
      </c>
      <c r="G378" s="94" t="s">
        <v>1094</v>
      </c>
      <c r="H378" s="104">
        <f>"Agenda for Tue., 10/26:  https://informaconnect.com/future-trends-world-summit/agenda/1/"</f>
        <v>0</v>
      </c>
      <c r="I378" s="96"/>
      <c r="J378" s="105"/>
      <c r="K378" s="98">
        <f>"https://informaconnect.com/future-trends-world-summit/contact/"</f>
        <v>0</v>
      </c>
      <c r="L378" s="113"/>
      <c r="M378" s="100"/>
      <c r="N378" s="116"/>
      <c r="O378" s="110"/>
      <c r="P378" s="92"/>
      <c r="Q378" s="156" t="s">
        <v>316</v>
      </c>
      <c r="R378" s="326" t="s">
        <v>54</v>
      </c>
      <c r="S378" s="87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</row>
    <row r="379" spans="1:64" s="102" customFormat="1" ht="22.5" customHeight="1">
      <c r="A379" s="89"/>
      <c r="B379" s="90"/>
      <c r="C379" s="103"/>
      <c r="D379" s="92"/>
      <c r="E379" s="92"/>
      <c r="F379" s="92"/>
      <c r="G379" s="94"/>
      <c r="H379" s="104" t="s">
        <v>1095</v>
      </c>
      <c r="I379" s="96"/>
      <c r="J379" s="105"/>
      <c r="K379" s="98"/>
      <c r="L379" s="113"/>
      <c r="M379" s="100"/>
      <c r="N379" s="116"/>
      <c r="O379" s="110"/>
      <c r="P379" s="92"/>
      <c r="Q379" s="156"/>
      <c r="R379" s="326"/>
      <c r="S379" s="87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</row>
    <row r="380" spans="1:64" s="102" customFormat="1" ht="21" customHeight="1">
      <c r="A380" s="89"/>
      <c r="B380" s="90"/>
      <c r="C380" s="103">
        <f>"E-mail invite:  http://email.informaconnect.com/q/12F2eOpgWHEkYb7s06vPdIpt/wv"</f>
        <v>0</v>
      </c>
      <c r="D380" s="92"/>
      <c r="E380" s="92"/>
      <c r="F380" s="92"/>
      <c r="G380" s="94"/>
      <c r="H380" s="104"/>
      <c r="I380" s="96"/>
      <c r="J380" s="105"/>
      <c r="K380" s="98"/>
      <c r="L380" s="113"/>
      <c r="M380" s="100"/>
      <c r="N380" s="116"/>
      <c r="O380" s="110"/>
      <c r="P380" s="92"/>
      <c r="Q380" s="156"/>
      <c r="R380" s="326"/>
      <c r="S380" s="87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</row>
    <row r="381" spans="1:64" s="102" customFormat="1" ht="39.75" customHeight="1">
      <c r="A381" s="89"/>
      <c r="B381" s="90"/>
      <c r="C381" s="103"/>
      <c r="D381" s="92"/>
      <c r="E381" s="92"/>
      <c r="F381" s="92"/>
      <c r="G381" s="94"/>
      <c r="H381" s="104">
        <f>"Agenda for Thu., 10/28:  https://informaconnect.com/future-trends-world-summit/agenda/3/"</f>
        <v>0</v>
      </c>
      <c r="I381" s="96"/>
      <c r="J381" s="105"/>
      <c r="K381" s="98"/>
      <c r="L381" s="113"/>
      <c r="M381" s="100"/>
      <c r="N381" s="116"/>
      <c r="O381" s="110"/>
      <c r="P381" s="92"/>
      <c r="Q381" s="156"/>
      <c r="R381" s="326"/>
      <c r="S381" s="87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</row>
    <row r="382" spans="1:64" s="102" customFormat="1" ht="65.25" customHeight="1">
      <c r="A382" s="89">
        <f>"Free Webinar:&amp;nbsp; Modeling Power Electronics for Electric Powertrain Applications"</f>
        <v>0</v>
      </c>
      <c r="B382" s="90" t="s">
        <v>1096</v>
      </c>
      <c r="C382" s="103">
        <f>"https://register.gotowebinar.com/register/1699806909788100112"</f>
        <v>0</v>
      </c>
      <c r="D382" s="92"/>
      <c r="E382" s="93" t="s">
        <v>1097</v>
      </c>
      <c r="F382" s="92" t="s">
        <v>1098</v>
      </c>
      <c r="G382" s="94">
        <f>"&amp;hellip; show how modeling of power electronics components with a variety of different levels of fidelity can help solve [its]  challenges."</f>
        <v>0</v>
      </c>
      <c r="H382" s="104">
        <f>"&lt;b&gt;Sabin Carpiuc&lt;/b&gt;, Ph.D., MathWorks, Cambridge, UK"</f>
        <v>0</v>
      </c>
      <c r="I382" s="96"/>
      <c r="J382" s="105"/>
      <c r="K382" s="98"/>
      <c r="L382" s="113"/>
      <c r="M382" s="100"/>
      <c r="N382" s="116"/>
      <c r="O382" s="110" t="s">
        <v>977</v>
      </c>
      <c r="P382" s="92" t="s">
        <v>978</v>
      </c>
      <c r="Q382" s="156" t="s">
        <v>64</v>
      </c>
      <c r="R382" s="157" t="s">
        <v>65</v>
      </c>
      <c r="S382" s="87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</row>
    <row r="383" spans="1:64" ht="82.5" customHeight="1">
      <c r="A383" s="125" t="s">
        <v>450</v>
      </c>
      <c r="B383" s="128" t="s">
        <v>451</v>
      </c>
      <c r="C383" s="128">
        <f>"https://tmt.knect365.com/connected-vehicles/"</f>
        <v>0</v>
      </c>
      <c r="D383" s="128" t="s">
        <v>138</v>
      </c>
      <c r="E383" s="129" t="s">
        <v>1099</v>
      </c>
      <c r="F383" s="128" t="s">
        <v>453</v>
      </c>
      <c r="G383" s="191" t="s">
        <v>454</v>
      </c>
      <c r="H383" s="245">
        <f>"Sign up to indicate interest, and for updates:  https://get.knect365.com/connected-vehicles/2020-pre-registration/"</f>
        <v>0</v>
      </c>
      <c r="I383" s="149">
        <f>"Agenda:  https://tmt.knect365.com/connected-vehicles/agenda"</f>
        <v>0</v>
      </c>
      <c r="J383" s="133">
        <f>"Colocated with &amp;ldquo;Internet of Things World&amp;rdquo;:  https://tmt.knect365.com/iot-world/"</f>
        <v>0</v>
      </c>
      <c r="K383" s="327">
        <f>"https://tmt.knect365.com/connected-vehicles/contact"</f>
        <v>0</v>
      </c>
      <c r="L383" s="164">
        <f>"Speaking Opportunities  Lewis Powers"</f>
        <v>0</v>
      </c>
      <c r="M383" s="151">
        <f>"mailto:Lewis.Powers@informa.com                              T: +44 (20) 755 19020"</f>
        <v>0</v>
      </c>
      <c r="N383" s="236" t="s">
        <v>455</v>
      </c>
      <c r="O383" s="194" t="s">
        <v>456</v>
      </c>
      <c r="P383" s="128" t="s">
        <v>130</v>
      </c>
      <c r="Q383" s="195" t="s">
        <v>457</v>
      </c>
      <c r="R383" s="196" t="s">
        <v>65</v>
      </c>
      <c r="S383" s="87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</row>
    <row r="384" spans="1:64" ht="85.5" customHeight="1">
      <c r="A384" s="125"/>
      <c r="B384" s="128"/>
      <c r="C384" s="128"/>
      <c r="D384" s="128"/>
      <c r="E384" s="129"/>
      <c r="F384" s="128"/>
      <c r="G384" s="191" t="s">
        <v>1100</v>
      </c>
      <c r="H384" s="245"/>
      <c r="I384" s="149">
        <f>"Brochure:  https://get.knect365.com/connected-vehicles/2020-event-brochure/"</f>
        <v>0</v>
      </c>
      <c r="J384" s="133"/>
      <c r="K384" s="327"/>
      <c r="L384" s="246">
        <f>"https://get.knect365.com/connected-vehicles/2020-speaking-proposal/"</f>
        <v>0</v>
      </c>
      <c r="M384" s="151">
        <f>"CoronaVirus info:  https://tmt.knect365.com/connected-vehicles/coronavirus-updates"</f>
        <v>0</v>
      </c>
      <c r="N384" s="236" t="s">
        <v>458</v>
      </c>
      <c r="O384" s="194"/>
      <c r="P384" s="128"/>
      <c r="Q384" s="195"/>
      <c r="R384" s="196"/>
      <c r="S384" s="87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</row>
    <row r="385" spans="1:64" s="102" customFormat="1" ht="63.75" customHeight="1">
      <c r="A385" s="89" t="s">
        <v>1101</v>
      </c>
      <c r="B385" s="90" t="s">
        <v>1102</v>
      </c>
      <c r="C385" s="103">
        <f>"https://www.sae.org/learn/content/c0828/"</f>
        <v>0</v>
      </c>
      <c r="D385" s="92" t="s">
        <v>966</v>
      </c>
      <c r="E385" s="93" t="s">
        <v>1103</v>
      </c>
      <c r="F385" s="92" t="s">
        <v>1104</v>
      </c>
      <c r="G385" s="94" t="s">
        <v>1105</v>
      </c>
      <c r="H385" s="104">
        <f>"Instructor: James Masiak"</f>
        <v>0</v>
      </c>
      <c r="I385" s="96"/>
      <c r="J385" s="105"/>
      <c r="K385" s="98"/>
      <c r="L385" s="106" t="s">
        <v>1106</v>
      </c>
      <c r="M385" s="111" t="s">
        <v>329</v>
      </c>
      <c r="N385" s="112"/>
      <c r="O385" s="106" t="s">
        <v>171</v>
      </c>
      <c r="P385" s="92" t="s">
        <v>172</v>
      </c>
      <c r="Q385" s="107" t="s">
        <v>64</v>
      </c>
      <c r="R385" s="108" t="s">
        <v>65</v>
      </c>
      <c r="S385" s="87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</row>
    <row r="386" spans="1:64" s="102" customFormat="1" ht="61.5" customHeight="1">
      <c r="A386" s="89" t="s">
        <v>1107</v>
      </c>
      <c r="B386" s="90" t="s">
        <v>1108</v>
      </c>
      <c r="C386" s="103">
        <f>"https://www.sae.org/learn/content/c0626/"</f>
        <v>0</v>
      </c>
      <c r="D386" s="92" t="s">
        <v>48</v>
      </c>
      <c r="E386" s="93" t="s">
        <v>1109</v>
      </c>
      <c r="F386" s="92" t="s">
        <v>326</v>
      </c>
      <c r="G386" s="94" t="s">
        <v>1110</v>
      </c>
      <c r="H386" s="104" t="s">
        <v>327</v>
      </c>
      <c r="I386" s="96"/>
      <c r="J386" s="97"/>
      <c r="K386" s="98"/>
      <c r="L386" s="99" t="s">
        <v>310</v>
      </c>
      <c r="M386" s="100" t="s">
        <v>311</v>
      </c>
      <c r="N386" s="101"/>
      <c r="O386" s="110" t="s">
        <v>171</v>
      </c>
      <c r="P386" s="92" t="s">
        <v>172</v>
      </c>
      <c r="Q386" s="156" t="s">
        <v>64</v>
      </c>
      <c r="R386" s="108" t="s">
        <v>65</v>
      </c>
      <c r="S386" s="87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</row>
    <row r="387" spans="1:64" s="102" customFormat="1" ht="54" customHeight="1">
      <c r="A387" s="92" t="s">
        <v>1066</v>
      </c>
      <c r="B387" s="92" t="s">
        <v>1111</v>
      </c>
      <c r="C387" s="92">
        <f>"https://www.sae.org/learn/content/c1704/"</f>
        <v>0</v>
      </c>
      <c r="D387" s="92" t="s">
        <v>48</v>
      </c>
      <c r="E387" s="93" t="s">
        <v>1112</v>
      </c>
      <c r="F387" s="92" t="s">
        <v>1070</v>
      </c>
      <c r="G387" s="94" t="s">
        <v>1071</v>
      </c>
      <c r="H387" s="104" t="s">
        <v>1072</v>
      </c>
      <c r="I387" s="123"/>
      <c r="J387" s="97"/>
      <c r="K387" s="328"/>
      <c r="L387" s="113" t="s">
        <v>169</v>
      </c>
      <c r="M387" s="100" t="s">
        <v>170</v>
      </c>
      <c r="N387" s="329"/>
      <c r="O387" s="106" t="s">
        <v>171</v>
      </c>
      <c r="P387" s="92" t="s">
        <v>172</v>
      </c>
      <c r="Q387" s="107" t="s">
        <v>64</v>
      </c>
      <c r="R387" s="118" t="s">
        <v>65</v>
      </c>
      <c r="S387" s="87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</row>
    <row r="388" spans="1:64" s="102" customFormat="1" ht="87" customHeight="1">
      <c r="A388" s="89" t="s">
        <v>1113</v>
      </c>
      <c r="B388" s="90" t="s">
        <v>1114</v>
      </c>
      <c r="C388" s="103">
        <f>"http://transportationcamp.org/events/pgh2021/"</f>
        <v>0</v>
      </c>
      <c r="D388" s="92" t="s">
        <v>1115</v>
      </c>
      <c r="E388" s="93" t="s">
        <v>1116</v>
      </c>
      <c r="F388" s="92" t="s">
        <v>89</v>
      </c>
      <c r="G388" s="94">
        <f>"Recent advances in technology &amp;hellip; present an opportunity to improve mobility more immediately and at a lower cost than has ever been possible in the past."</f>
        <v>0</v>
      </c>
      <c r="H388" s="104">
        <f>"registration:  https://www.eventbrite.com/e/transportationistas-join-us-at-transportationcamppgh-2021-tickets-160977119899"</f>
        <v>0</v>
      </c>
      <c r="I388" s="96"/>
      <c r="J388" s="105"/>
      <c r="K388" s="117">
        <f>"Series link:  http://transportationcamp.org/"</f>
        <v>0</v>
      </c>
      <c r="L388" s="106">
        <f>"Essential guide:  http://transportationcamp.org/2011/02/how-transportationcamp-works-the-essential-guide/"</f>
        <v>0</v>
      </c>
      <c r="M388" s="111">
        <f>"Academic Innovation Award &lt;/b&gt;&lt;i&gt;(Student&amp;nbsp;Competition)&lt;/i&gt; due 2021/03/15 (extended)"</f>
        <v>0</v>
      </c>
      <c r="N388" s="116">
        <f>"https://docs.google.com/forms/d/e/1FAIpQLSch14g_2RnTaq1cdmHLVbTJcFA3ozxlnGeQwKfm_ec-OPLT2w/viewform"</f>
        <v>0</v>
      </c>
      <c r="O388" s="106"/>
      <c r="P388" s="92"/>
      <c r="Q388" s="107" t="s">
        <v>53</v>
      </c>
      <c r="R388" s="118" t="s">
        <v>91</v>
      </c>
      <c r="S388" s="87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</row>
    <row r="389" spans="1:64" s="102" customFormat="1" ht="44.25" customHeight="1">
      <c r="A389" s="89">
        <f>"Centering Equity and Resilience in School Bus Electrification"</f>
        <v>0</v>
      </c>
      <c r="B389" s="90" t="s">
        <v>1117</v>
      </c>
      <c r="C389" s="103">
        <f>"https://www.anymeeting.com/AccountManager/RegEv.aspx?PIID=E057D684834730"</f>
        <v>0</v>
      </c>
      <c r="D389" s="92"/>
      <c r="E389" s="93" t="s">
        <v>1118</v>
      </c>
      <c r="F389" s="92" t="s">
        <v>1119</v>
      </c>
      <c r="G389" s="94">
        <f>"&amp;hellip; diesel emission buses exposes students to high levels of pollution. &amp;hellip; Clean Commute for Kids Act &amp;hellip; replace[s] diesel school buses with electric, zero&amp;#8209;emission buses."</f>
        <v>0</v>
      </c>
      <c r="H389" s="104">
        <f>"Moderator:&amp;nbsp; &lt;b&gt;Simbiat&amp;nbsp;Yusuff&lt;/b&gt; Member Rel. Mgr., Forth"</f>
        <v>0</v>
      </c>
      <c r="I389" s="96"/>
      <c r="J389" s="105"/>
      <c r="K389" s="117"/>
      <c r="L389" s="106"/>
      <c r="M389" s="92"/>
      <c r="N389" s="116"/>
      <c r="O389" s="106" t="s">
        <v>206</v>
      </c>
      <c r="P389" s="92" t="s">
        <v>233</v>
      </c>
      <c r="Q389" s="107" t="s">
        <v>64</v>
      </c>
      <c r="R389" s="108" t="s">
        <v>65</v>
      </c>
      <c r="S389" s="87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</row>
    <row r="390" spans="1:64" s="102" customFormat="1" ht="36.75" customHeight="1">
      <c r="A390" s="89"/>
      <c r="B390" s="90"/>
      <c r="C390" s="103"/>
      <c r="D390" s="92"/>
      <c r="E390" s="93"/>
      <c r="F390" s="92"/>
      <c r="G390" s="94"/>
      <c r="H390" s="104">
        <f>"Speakers:&amp;nbsp; &lt;b&gt;Joe&amp;nbsp;Wachunas&lt;/b&gt;, Progr. Mgr., Forth"</f>
        <v>0</v>
      </c>
      <c r="I390" s="96"/>
      <c r="J390" s="105"/>
      <c r="K390" s="117"/>
      <c r="L390" s="106"/>
      <c r="M390" s="92"/>
      <c r="N390" s="116"/>
      <c r="O390" s="106"/>
      <c r="P390" s="92"/>
      <c r="Q390" s="107"/>
      <c r="R390" s="108"/>
      <c r="S390" s="87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</row>
    <row r="391" spans="1:64" s="102" customFormat="1" ht="28.5" customHeight="1">
      <c r="A391" s="89"/>
      <c r="B391" s="90"/>
      <c r="C391" s="103"/>
      <c r="D391" s="92"/>
      <c r="E391" s="93"/>
      <c r="F391" s="92"/>
      <c r="G391" s="94"/>
      <c r="H391" s="104">
        <f>"&lt;b&gt;Christiane&amp;nbsp;Walker&lt;/b&gt;, Eng. Cons., Ctr. Transp. and&amp;nbsp;Envir."</f>
        <v>0</v>
      </c>
      <c r="I391" s="96"/>
      <c r="J391" s="105"/>
      <c r="K391" s="117"/>
      <c r="L391" s="106"/>
      <c r="M391" s="92"/>
      <c r="N391" s="116"/>
      <c r="O391" s="106"/>
      <c r="P391" s="92"/>
      <c r="Q391" s="107"/>
      <c r="R391" s="108"/>
      <c r="S391" s="87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</row>
    <row r="392" spans="1:64" s="102" customFormat="1" ht="30.75" customHeight="1">
      <c r="A392" s="89"/>
      <c r="B392" s="90"/>
      <c r="C392" s="103"/>
      <c r="D392" s="92"/>
      <c r="E392" s="93"/>
      <c r="F392" s="92"/>
      <c r="G392" s="94"/>
      <c r="H392" s="104">
        <f>"&lt;b&gt;Carla&amp;nbsp;Walker&lt;/b&gt;, Dir. of Env. Justice &amp; Equity, World Resources Inst.-US"</f>
        <v>0</v>
      </c>
      <c r="I392" s="96"/>
      <c r="J392" s="105"/>
      <c r="K392" s="117"/>
      <c r="L392" s="106"/>
      <c r="M392" s="92"/>
      <c r="N392" s="116"/>
      <c r="O392" s="106"/>
      <c r="P392" s="92"/>
      <c r="Q392" s="107"/>
      <c r="R392" s="108"/>
      <c r="S392" s="87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</row>
    <row r="393" spans="1:64" s="102" customFormat="1" ht="33.75" customHeight="1">
      <c r="A393" s="89" t="s">
        <v>1120</v>
      </c>
      <c r="B393" s="90" t="s">
        <v>1121</v>
      </c>
      <c r="C393" s="103">
        <f>"https://cop26.uk"</f>
        <v>0</v>
      </c>
      <c r="D393" s="92" t="s">
        <v>1122</v>
      </c>
      <c r="E393" s="93" t="s">
        <v>1123</v>
      </c>
      <c r="F393" s="92" t="s">
        <v>1124</v>
      </c>
      <c r="G393" s="94">
        <f>"The decarbonisation of transport is a top priority to achieve our climate goals and stave off climate change."</f>
        <v>0</v>
      </c>
      <c r="H393" s="104">
        <f>"Get Involved:  https://cop26.uk/innovation-zone#Get%20Involved"</f>
        <v>0</v>
      </c>
      <c r="I393" s="96"/>
      <c r="J393" s="105"/>
      <c r="K393" s="117">
        <f>"mailto:info@climateaction.org?Subject=Innovation%20Expo%20Enquiry"</f>
        <v>0</v>
      </c>
      <c r="L393" s="106">
        <f>"Registration:  https://cop26.uk/innovation-zone/registration/"</f>
        <v>0</v>
      </c>
      <c r="M393" s="92"/>
      <c r="N393" s="116"/>
      <c r="O393" s="106"/>
      <c r="P393" s="92"/>
      <c r="Q393" s="107" t="s">
        <v>64</v>
      </c>
      <c r="R393" s="108" t="s">
        <v>65</v>
      </c>
      <c r="S393" s="87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</row>
    <row r="394" spans="1:64" s="102" customFormat="1" ht="18" customHeight="1">
      <c r="A394" s="89" t="s">
        <v>1125</v>
      </c>
      <c r="B394" s="90"/>
      <c r="C394" s="103"/>
      <c r="D394" s="92"/>
      <c r="E394" s="93" t="s">
        <v>1126</v>
      </c>
      <c r="F394" s="92"/>
      <c r="G394" s="94"/>
      <c r="H394" s="104"/>
      <c r="I394" s="96"/>
      <c r="J394" s="105"/>
      <c r="K394" s="117"/>
      <c r="L394" s="106"/>
      <c r="M394" s="92"/>
      <c r="N394" s="116"/>
      <c r="O394" s="106"/>
      <c r="P394" s="92"/>
      <c r="Q394" s="107"/>
      <c r="R394" s="108"/>
      <c r="S394" s="87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</row>
    <row r="395" spans="1:64" ht="21.75" customHeight="1">
      <c r="A395" s="89" t="s">
        <v>1127</v>
      </c>
      <c r="B395" s="92" t="s">
        <v>1128</v>
      </c>
      <c r="C395" s="103">
        <f>"https://www.intertraffic.com/mexico/"</f>
        <v>0</v>
      </c>
      <c r="D395" s="92" t="s">
        <v>1129</v>
      </c>
      <c r="E395" s="93" t="s">
        <v>1130</v>
      </c>
      <c r="F395" s="92" t="s">
        <v>1131</v>
      </c>
      <c r="G395" s="94" t="s">
        <v>1132</v>
      </c>
      <c r="H395" s="213"/>
      <c r="I395" s="135"/>
      <c r="J395" s="133">
        <f>"+52 55 5523 8276"</f>
        <v>0</v>
      </c>
      <c r="K395" s="134">
        <f>"mailto:informes@tarsus.mx"</f>
        <v>0</v>
      </c>
      <c r="L395" s="113">
        <f>"Exhibitor's info: https://www.intertraffic.com/mexico/exhibiting/"</f>
        <v>0</v>
      </c>
      <c r="M395" s="100"/>
      <c r="N395" s="116"/>
      <c r="O395" s="106" t="s">
        <v>288</v>
      </c>
      <c r="P395" s="92" t="s">
        <v>289</v>
      </c>
      <c r="Q395" s="107" t="s">
        <v>64</v>
      </c>
      <c r="R395" s="108" t="s">
        <v>65</v>
      </c>
      <c r="S395" s="87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</row>
    <row r="396" spans="1:64" ht="39" customHeight="1">
      <c r="A396" s="89"/>
      <c r="B396" s="92"/>
      <c r="C396" s="103"/>
      <c r="D396" s="92"/>
      <c r="E396" s="93"/>
      <c r="F396" s="92"/>
      <c r="G396" s="94"/>
      <c r="H396" s="213"/>
      <c r="I396" s="135">
        <f>"Mrs. Laura Barrera (event director)"</f>
        <v>0</v>
      </c>
      <c r="J396" s="133">
        <f>"+52 55 108 71 650 x1185"</f>
        <v>0</v>
      </c>
      <c r="K396" s="134">
        <f>"mailto:Laura.barrera@tarsus.mx?subject=Intertraffic%20Mexico"</f>
        <v>0</v>
      </c>
      <c r="L396" s="113"/>
      <c r="M396" s="100"/>
      <c r="N396" s="116"/>
      <c r="O396" s="106"/>
      <c r="P396" s="92"/>
      <c r="Q396" s="107"/>
      <c r="R396" s="107"/>
      <c r="S396" s="87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</row>
    <row r="397" spans="1:64" s="102" customFormat="1" ht="43.5" customHeight="1">
      <c r="A397" s="89"/>
      <c r="B397" s="92"/>
      <c r="C397" s="103"/>
      <c r="D397" s="92"/>
      <c r="E397" s="93"/>
      <c r="F397" s="92"/>
      <c r="G397" s="94"/>
      <c r="H397" s="213"/>
      <c r="I397" s="96"/>
      <c r="J397" s="97"/>
      <c r="K397" s="98">
        <f>"https://www.intertraffic.com/contact/"</f>
        <v>0</v>
      </c>
      <c r="L397" s="113"/>
      <c r="M397" s="100"/>
      <c r="N397" s="116"/>
      <c r="O397" s="106"/>
      <c r="P397" s="92"/>
      <c r="Q397" s="107"/>
      <c r="R397" s="108"/>
      <c r="S397" s="87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</row>
    <row r="398" spans="1:64" s="102" customFormat="1" ht="73.5" customHeight="1">
      <c r="A398" s="125" t="s">
        <v>946</v>
      </c>
      <c r="B398" s="126" t="s">
        <v>1133</v>
      </c>
      <c r="C398" s="127">
        <f>"https://www.sae.org/learn/content/c1630/"</f>
        <v>0</v>
      </c>
      <c r="D398" s="128" t="s">
        <v>501</v>
      </c>
      <c r="E398" s="129" t="s">
        <v>1134</v>
      </c>
      <c r="F398" s="128" t="s">
        <v>949</v>
      </c>
      <c r="G398" s="130" t="s">
        <v>950</v>
      </c>
      <c r="H398" s="131">
        <f>"Instructor: Yuxiang Jiang, Ph.D."</f>
        <v>0</v>
      </c>
      <c r="I398" s="132" t="s">
        <v>1135</v>
      </c>
      <c r="J398" s="305"/>
      <c r="K398" s="134"/>
      <c r="L398" s="135" t="s">
        <v>853</v>
      </c>
      <c r="M398" s="173" t="s">
        <v>311</v>
      </c>
      <c r="N398" s="174"/>
      <c r="O398" s="135" t="s">
        <v>171</v>
      </c>
      <c r="P398" s="128" t="s">
        <v>172</v>
      </c>
      <c r="Q398" s="136" t="s">
        <v>64</v>
      </c>
      <c r="R398" s="137" t="s">
        <v>65</v>
      </c>
      <c r="S398" s="87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</row>
    <row r="399" spans="1:64" s="102" customFormat="1" ht="78" customHeight="1">
      <c r="A399" s="89" t="s">
        <v>1136</v>
      </c>
      <c r="B399" s="90" t="s">
        <v>1137</v>
      </c>
      <c r="C399" s="103">
        <f>"https://www.sae.org/learn/content/c1950/"</f>
        <v>0</v>
      </c>
      <c r="D399" s="92" t="s">
        <v>165</v>
      </c>
      <c r="E399" s="93" t="s">
        <v>1134</v>
      </c>
      <c r="F399" s="92" t="s">
        <v>1138</v>
      </c>
      <c r="G399" s="94">
        <f>"&amp;hellip; safety has some of the most complex requirements in the development of [autonomous] vehicles.&amp;nbsp; However, there are many misconceptions involving safety and the concept of safety as applied to [them]."</f>
        <v>0</v>
      </c>
      <c r="H399" s="104" t="s">
        <v>1139</v>
      </c>
      <c r="I399" s="96"/>
      <c r="J399" s="97"/>
      <c r="K399" s="98"/>
      <c r="L399" s="158" t="s">
        <v>310</v>
      </c>
      <c r="M399" s="159" t="s">
        <v>311</v>
      </c>
      <c r="N399" s="200"/>
      <c r="O399" s="106" t="s">
        <v>171</v>
      </c>
      <c r="P399" s="92" t="s">
        <v>172</v>
      </c>
      <c r="Q399" s="107" t="s">
        <v>64</v>
      </c>
      <c r="R399" s="108" t="s">
        <v>65</v>
      </c>
      <c r="S399" s="87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</row>
    <row r="400" spans="1:64" ht="84.75" customHeight="1">
      <c r="A400" s="197" t="s">
        <v>1140</v>
      </c>
      <c r="B400" s="90" t="s">
        <v>1141</v>
      </c>
      <c r="C400" s="177">
        <f>"http://www.maglev2020.com/ (Dead Link)"</f>
        <v>0</v>
      </c>
      <c r="D400" s="92" t="s">
        <v>1142</v>
      </c>
      <c r="E400" s="93" t="s">
        <v>1143</v>
      </c>
      <c r="F400" s="92" t="s">
        <v>1144</v>
      </c>
      <c r="G400" s="94" t="s">
        <v>1145</v>
      </c>
      <c r="H400" s="104"/>
      <c r="I400" s="96" t="s">
        <v>1146</v>
      </c>
      <c r="J400" s="97">
        <f>"+86 0731 84263875"</f>
        <v>0</v>
      </c>
      <c r="K400" s="98">
        <f>"admin@maglev2020.com"</f>
        <v>0</v>
      </c>
      <c r="L400" s="99">
        <f>"http://www.maglev2020.com/conference/13/1.html"</f>
        <v>0</v>
      </c>
      <c r="M400" s="100">
        <f>"Login:  http://www.maglev2020.com/login.html"</f>
        <v>0</v>
      </c>
      <c r="N400" s="286" t="s">
        <v>1147</v>
      </c>
      <c r="O400" s="110" t="s">
        <v>465</v>
      </c>
      <c r="P400" s="92">
        <f>"https://www.maglevboard.net/en/the-conferences"</f>
        <v>0</v>
      </c>
      <c r="Q400" s="330" t="s">
        <v>64</v>
      </c>
      <c r="R400" s="108" t="s">
        <v>65</v>
      </c>
      <c r="S400" s="140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</row>
    <row r="401" spans="1:64" ht="21.75" customHeight="1">
      <c r="A401" s="247" t="s">
        <v>1148</v>
      </c>
      <c r="B401" s="90"/>
      <c r="C401" s="177"/>
      <c r="D401" s="92"/>
      <c r="E401" s="129" t="s">
        <v>1149</v>
      </c>
      <c r="F401" s="92"/>
      <c r="G401" s="94"/>
      <c r="H401" s="104"/>
      <c r="I401" s="96"/>
      <c r="J401" s="97"/>
      <c r="K401" s="98"/>
      <c r="L401" s="99"/>
      <c r="M401" s="100"/>
      <c r="N401" s="286"/>
      <c r="O401" s="110"/>
      <c r="P401" s="92"/>
      <c r="Q401" s="330"/>
      <c r="R401" s="108"/>
      <c r="S401" s="140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</row>
    <row r="402" spans="1:19" s="102" customFormat="1" ht="59.25" customHeight="1">
      <c r="A402" s="197">
        <f>"INVISIBLE THREADS&lt;/b&gt; Preview Screening with Q&amp;A"</f>
        <v>0</v>
      </c>
      <c r="B402" s="90" t="s">
        <v>1150</v>
      </c>
      <c r="C402" s="177">
        <f>"https://teslasciencecenter.org/events/invisible-threads/"</f>
        <v>0</v>
      </c>
      <c r="D402" s="92">
        <f>"Bourne Mansion in Oakdale, LI, NY"</f>
        <v>0</v>
      </c>
      <c r="E402" s="93" t="s">
        <v>1151</v>
      </c>
      <c r="F402" s="92" t="s">
        <v>1152</v>
      </c>
      <c r="G402" s="94">
        <f>"Your ticket purchase benefits two educational nonprofits &amp;hellip;"</f>
        <v>0</v>
      </c>
      <c r="H402" s="104">
        <f>"imdb:  https://www.imdb.com/title/tt14498354/"</f>
        <v>0</v>
      </c>
      <c r="I402" s="123"/>
      <c r="J402" s="97">
        <f>"631‑886‑2632"</f>
        <v>0</v>
      </c>
      <c r="K402" s="313">
        <f>"mailto:events@teslasciencecenter.org"</f>
        <v>0</v>
      </c>
      <c r="L402" s="99">
        <f>"Buy Tickets:  https://teslasciencecenter.app.neoncrm.com/np/clients/teslasciencecenter/eventRegistration.jsp?event=1187&amp;"</f>
        <v>0</v>
      </c>
      <c r="M402" s="100" t="s">
        <v>1153</v>
      </c>
      <c r="N402" s="286">
        <f>"Trailer:  https://player.vimeo.com/video/635960099?h=03a05bf850 (2:57)"</f>
        <v>0</v>
      </c>
      <c r="O402" s="110" t="s">
        <v>665</v>
      </c>
      <c r="P402" s="92" t="s">
        <v>826</v>
      </c>
      <c r="Q402" s="330" t="s">
        <v>439</v>
      </c>
      <c r="R402" s="118" t="s">
        <v>991</v>
      </c>
      <c r="S402" s="140"/>
    </row>
    <row r="403" spans="1:64" ht="41.25" customHeight="1">
      <c r="A403" s="92" t="s">
        <v>1154</v>
      </c>
      <c r="B403" s="92" t="s">
        <v>1155</v>
      </c>
      <c r="C403" s="92">
        <f>"https://events.techconnect.org/Europe/index.html"</f>
        <v>0</v>
      </c>
      <c r="D403" s="92" t="s">
        <v>1156</v>
      </c>
      <c r="E403" s="93" t="s">
        <v>1157</v>
      </c>
      <c r="F403" s="92" t="s">
        <v>1158</v>
      </c>
      <c r="G403" s="191" t="s">
        <v>1159</v>
      </c>
      <c r="H403" s="100"/>
      <c r="I403" s="123"/>
      <c r="J403" s="97"/>
      <c r="K403" s="331">
        <f>"https://events.techconnect.org/Europe/about/contact.html"</f>
        <v>0</v>
      </c>
      <c r="L403" s="113">
        <f>"Presentation:  https://events.techconnect.org/Europe/authors/ (Speaking or Poster)"</f>
        <v>0</v>
      </c>
      <c r="M403" s="100">
        <f>"https://events.techconnect.org/Europe/authors/form.html"</f>
        <v>0</v>
      </c>
      <c r="N403" s="332">
        <f>"Abstracts due (200 words max.):  2020/10/22 (extended from 10/05, 09/30, 09/03 and 07/16"</f>
        <v>0</v>
      </c>
      <c r="O403" s="110" t="s">
        <v>350</v>
      </c>
      <c r="P403" s="92">
        <f>"https://techconnect.org/events/"</f>
        <v>0</v>
      </c>
      <c r="Q403" s="330" t="s">
        <v>64</v>
      </c>
      <c r="R403" s="108" t="s">
        <v>65</v>
      </c>
      <c r="S403" s="87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</row>
    <row r="404" spans="1:64" ht="36.75" customHeight="1">
      <c r="A404" s="92"/>
      <c r="B404" s="92"/>
      <c r="C404" s="92"/>
      <c r="D404" s="92"/>
      <c r="E404" s="93"/>
      <c r="F404" s="92"/>
      <c r="G404" s="191"/>
      <c r="H404" s="100"/>
      <c r="I404" s="123" t="s">
        <v>1160</v>
      </c>
      <c r="J404" s="97">
        <f>"(925) 353-5004"</f>
        <v>0</v>
      </c>
      <c r="K404" s="331">
        <f>"mailto:wenning@techconnect.org"</f>
        <v>0</v>
      </c>
      <c r="L404" s="113"/>
      <c r="M404" s="100"/>
      <c r="N404" s="332"/>
      <c r="O404" s="110"/>
      <c r="P404" s="92"/>
      <c r="Q404" s="330"/>
      <c r="R404" s="108"/>
      <c r="S404" s="87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</row>
    <row r="405" spans="1:64" ht="66" customHeight="1">
      <c r="A405" s="92"/>
      <c r="B405" s="92"/>
      <c r="C405" s="92"/>
      <c r="D405" s="92"/>
      <c r="E405" s="93"/>
      <c r="F405" s="93"/>
      <c r="G405" s="119">
        <f>"Connecting Research &amp;ndash; Accelerating Innovation."</f>
        <v>0</v>
      </c>
      <c r="H405" s="100"/>
      <c r="I405" s="123">
        <f>"Christopher Erb, VP Events (for Exhibitor, Sponsor &amp; Partners)"</f>
        <v>0</v>
      </c>
      <c r="J405" s="97">
        <f>"(781) 910-7778"</f>
        <v>0</v>
      </c>
      <c r="K405" s="331">
        <f>"mailto:cerb@techconnect.org"</f>
        <v>0</v>
      </c>
      <c r="L405" s="113">
        <f>"Innovation Showcase:  https://events.techconnect.org/Europe/innovation/"</f>
        <v>0</v>
      </c>
      <c r="M405" s="100">
        <f>"https://events.techconnect.org/Europe/innovation/form.html"</f>
        <v>0</v>
      </c>
      <c r="N405" s="332">
        <f>"Innovations due:  2021/10/22 (extended from 10/05, 09/30 and 09/10)"</f>
        <v>0</v>
      </c>
      <c r="O405" s="110"/>
      <c r="P405" s="92"/>
      <c r="Q405" s="330"/>
      <c r="R405" s="108"/>
      <c r="S405" s="87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</row>
    <row r="406" spans="1:64" s="102" customFormat="1" ht="21" customHeight="1">
      <c r="A406" s="89" t="s">
        <v>789</v>
      </c>
      <c r="B406" s="90" t="s">
        <v>790</v>
      </c>
      <c r="C406" s="103">
        <f>"https://wardsauto.informa.com/auto-tech-week/"</f>
        <v>0</v>
      </c>
      <c r="D406" s="92" t="s">
        <v>1161</v>
      </c>
      <c r="E406" s="93" t="s">
        <v>1162</v>
      </c>
      <c r="F406" s="92" t="s">
        <v>793</v>
      </c>
      <c r="G406" s="94">
        <f>"The Engine of Auto Tech Innovation Returns in 2021"</f>
        <v>0</v>
      </c>
      <c r="H406" s="104" t="s">
        <v>920</v>
      </c>
      <c r="I406" s="96"/>
      <c r="J406" s="105"/>
      <c r="K406" s="98"/>
      <c r="L406" s="113">
        <f>"Apply to be a Speaker:  https://wardsauto.informa.com/speaker-application-automotive-tech-week/"</f>
        <v>0</v>
      </c>
      <c r="M406" s="100"/>
      <c r="N406" s="116"/>
      <c r="O406" s="106" t="s">
        <v>129</v>
      </c>
      <c r="P406" s="92" t="s">
        <v>130</v>
      </c>
      <c r="Q406" s="107" t="s">
        <v>64</v>
      </c>
      <c r="R406" s="108" t="s">
        <v>65</v>
      </c>
      <c r="S406" s="87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</row>
    <row r="407" spans="1:64" s="102" customFormat="1" ht="103.5" customHeight="1">
      <c r="A407" s="89">
        <f>"Formerly known as &amp;ldquo;ADAS &amp; Autonomous Vehicles&amp;rdquo; and &amp;ldquo;TU-Automotive Detroit&amp;rdquo; and &amp;ldquo;UX-User-Experience&amp;nbsp;Conference&amp;rdquo;&amp;trade;"</f>
        <v>0</v>
      </c>
      <c r="B407" s="90"/>
      <c r="C407" s="103"/>
      <c r="D407" s="92"/>
      <c r="E407" s="93"/>
      <c r="F407" s="92"/>
      <c r="G407" s="94"/>
      <c r="H407" s="104"/>
      <c r="I407" s="96"/>
      <c r="J407" s="105"/>
      <c r="K407" s="98"/>
      <c r="L407" s="113"/>
      <c r="M407" s="100"/>
      <c r="N407" s="116"/>
      <c r="O407" s="106"/>
      <c r="P407" s="92"/>
      <c r="Q407" s="107"/>
      <c r="R407" s="108"/>
      <c r="S407" s="87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</row>
    <row r="408" spans="1:64" s="102" customFormat="1" ht="53.25" customHeight="1">
      <c r="A408" s="89" t="s">
        <v>1163</v>
      </c>
      <c r="B408" s="90"/>
      <c r="C408" s="103">
        <f>"https://wardsauto.informa.com/focus-electrification-and-advanced-propulsion/"</f>
        <v>0</v>
      </c>
      <c r="D408" s="92"/>
      <c r="E408" s="93" t="s">
        <v>1164</v>
      </c>
      <c r="F408" s="92"/>
      <c r="G408" s="94">
        <f>"Exploring the Electrifying Future of Automotive Propulsion"</f>
        <v>0</v>
      </c>
      <c r="H408" s="104" t="s">
        <v>925</v>
      </c>
      <c r="I408" s="96"/>
      <c r="J408" s="105"/>
      <c r="K408" s="98"/>
      <c r="L408" s="113"/>
      <c r="M408" s="100"/>
      <c r="N408" s="116"/>
      <c r="O408" s="106"/>
      <c r="P408" s="92"/>
      <c r="Q408" s="107"/>
      <c r="R408" s="108"/>
      <c r="S408" s="87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</row>
    <row r="409" spans="1:64" s="102" customFormat="1" ht="50.25" customHeight="1">
      <c r="A409" s="89" t="s">
        <v>1165</v>
      </c>
      <c r="B409" s="90" t="s">
        <v>1166</v>
      </c>
      <c r="C409" s="103">
        <f>"https://intelligenttransportconference.com/transport-innovation-summit/"</f>
        <v>0</v>
      </c>
      <c r="D409" s="92" t="s">
        <v>576</v>
      </c>
      <c r="E409" s="93" t="s">
        <v>1167</v>
      </c>
      <c r="F409" s="92" t="s">
        <v>1168</v>
      </c>
      <c r="G409" s="94">
        <f>"Driving Public Transport Forward"</f>
        <v>0</v>
      </c>
      <c r="H409" s="104">
        <f>"Some of the speakers:  Anne&amp;nbsp;Reddaway, Ben&amp;nbsp;Gilligan, James&amp;nbsp;Lancaster, and Waseem&amp;nbsp;Zaffar"</f>
        <v>0</v>
      </c>
      <c r="I409" s="96"/>
      <c r="J409" s="105"/>
      <c r="K409" s="98"/>
      <c r="L409" s="113">
        <f>"Booking:  https://intelligenttransportconference.com/transport-innovation-summit/book-now/"</f>
        <v>0</v>
      </c>
      <c r="M409" s="100" t="s">
        <v>1169</v>
      </c>
      <c r="N409" s="116"/>
      <c r="O409" s="106"/>
      <c r="P409" s="92"/>
      <c r="Q409" s="107" t="s">
        <v>64</v>
      </c>
      <c r="R409" s="108" t="s">
        <v>65</v>
      </c>
      <c r="S409" s="87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</row>
    <row r="410" spans="1:64" s="102" customFormat="1" ht="80.25" customHeight="1">
      <c r="A410" s="89"/>
      <c r="B410" s="90"/>
      <c r="C410" s="103">
        <f>"e-mail message:  https://emails.intelligenttransport.com/russellpublishinglz/lz.aspx?p1=MRkDUzMDYxMDRTMjM2ODozREU1MzM1RkQxQTAyMEE3QTI5MUIyQjA5MDg1QjgzNA%3d%3d-&amp;CC=&amp;p=0"</f>
        <v>0</v>
      </c>
      <c r="D410" s="103"/>
      <c r="E410" s="93"/>
      <c r="F410" s="93"/>
      <c r="G410" s="94">
        <f>"Total of 18 Webinar Sessions, 15 Case Studies, and 10 Networking Live! Sessions, spread over five days.  Agenda are shown about one-third way down the main page."</f>
        <v>0</v>
      </c>
      <c r="H410" s="104"/>
      <c r="I410" s="96"/>
      <c r="J410" s="105"/>
      <c r="K410" s="98"/>
      <c r="L410" s="113">
        <f>"Registering your Interest:  https://intelligenttransportconference.com/transport-innovation-summit/register-your-interest/"</f>
        <v>0</v>
      </c>
      <c r="M410" s="100"/>
      <c r="N410" s="116"/>
      <c r="O410" s="106"/>
      <c r="P410" s="92"/>
      <c r="Q410" s="107"/>
      <c r="R410" s="108"/>
      <c r="S410" s="87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</row>
    <row r="411" spans="1:64" s="102" customFormat="1" ht="66" customHeight="1">
      <c r="A411" s="89">
        <f>"Dep&amp;rsquo;t of Energy SBIR/STTR Phase I Release 2:  Webinar for CESER, NA, OE &amp; FE Topics (1-6 &amp; 21-23)"</f>
        <v>0</v>
      </c>
      <c r="B411" s="111" t="s">
        <v>723</v>
      </c>
      <c r="C411" s="92">
        <f>"https://science-doe.zoomgov.com/webinar/register/WN_v4FYJMtFQsO7ziWTCSKQOg"</f>
        <v>0</v>
      </c>
      <c r="D411" s="293"/>
      <c r="E411" s="93" t="s">
        <v>1170</v>
      </c>
      <c r="F411" s="92" t="s">
        <v>725</v>
      </c>
      <c r="G411" s="297"/>
      <c r="H411" s="104" t="s">
        <v>726</v>
      </c>
      <c r="I411" s="123"/>
      <c r="J411" s="97"/>
      <c r="K411" s="124"/>
      <c r="L411" s="113"/>
      <c r="M411" s="113"/>
      <c r="N411" s="116"/>
      <c r="O411" s="114" t="s">
        <v>727</v>
      </c>
      <c r="P411" s="115">
        <f>"https://science.osti.gov/sbir/Funding-Opportunities"</f>
        <v>0</v>
      </c>
      <c r="Q411" s="117" t="s">
        <v>64</v>
      </c>
      <c r="R411" s="185" t="s">
        <v>65</v>
      </c>
      <c r="S411" s="87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</row>
    <row r="412" spans="1:64" s="102" customFormat="1" ht="66" customHeight="1">
      <c r="A412" s="89">
        <f>". . . H2338"</f>
        <v>0</v>
      </c>
      <c r="B412" s="111"/>
      <c r="C412" s="92">
        <f>"https://science-doe.zoomgov.com/webinar/register/WN_NYEcwpwORdSmtWV4ucUhMA"</f>
        <v>0</v>
      </c>
      <c r="D412" s="293"/>
      <c r="E412" s="93" t="s">
        <v>1171</v>
      </c>
      <c r="F412" s="92"/>
      <c r="G412" s="297"/>
      <c r="H412" s="104"/>
      <c r="I412" s="123"/>
      <c r="J412" s="97"/>
      <c r="K412" s="124"/>
      <c r="L412" s="113"/>
      <c r="M412" s="113"/>
      <c r="N412" s="116"/>
      <c r="O412" s="114"/>
      <c r="P412" s="115"/>
      <c r="Q412" s="117"/>
      <c r="R412" s="185"/>
      <c r="S412" s="87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</row>
    <row r="413" spans="1:64" s="102" customFormat="1" ht="66" customHeight="1">
      <c r="A413" s="89">
        <f>" . . . FES, HEP &amp; NE Topics (24-38)"</f>
        <v>0</v>
      </c>
      <c r="B413" s="111"/>
      <c r="C413" s="92">
        <f>"https://science-doe.zoomgov.com/webinar/register/WN_vfi9qAwFT_KxJlKj8n0ZjA"</f>
        <v>0</v>
      </c>
      <c r="D413" s="293"/>
      <c r="E413" s="93" t="s">
        <v>1172</v>
      </c>
      <c r="F413" s="92"/>
      <c r="G413" s="297"/>
      <c r="H413" s="104"/>
      <c r="I413" s="123"/>
      <c r="J413" s="97"/>
      <c r="K413" s="124"/>
      <c r="L413" s="113"/>
      <c r="M413" s="113"/>
      <c r="N413" s="116"/>
      <c r="O413" s="114"/>
      <c r="P413" s="115"/>
      <c r="Q413" s="117"/>
      <c r="R413" s="185"/>
      <c r="S413" s="87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</row>
    <row r="414" spans="1:19" s="102" customFormat="1" ht="67.5" customHeight="1">
      <c r="A414" s="89">
        <f>"Free Online Conference:&amp;nbsp; ElectrifyNow:&amp;nbsp; Which role for electrification in the Green Deal?"</f>
        <v>0</v>
      </c>
      <c r="B414" s="92" t="s">
        <v>1173</v>
      </c>
      <c r="C414" s="92">
        <f>"https://electrification-alliance.eu/electrifynow-which-role-for-electrification-in-the-green-deal/"</f>
        <v>0</v>
      </c>
      <c r="D414" s="92"/>
      <c r="E414" s="93" t="s">
        <v>1174</v>
      </c>
      <c r="F414" s="92" t="s">
        <v>1175</v>
      </c>
      <c r="G414" s="119">
        <f>"Many sectors &amp;hellip; are undergoing the process of electrification, &amp;hellip; increasingly powered by renewable energy sources &amp;hellip;"</f>
        <v>0</v>
      </c>
      <c r="H414" s="104"/>
      <c r="I414" s="123"/>
      <c r="J414" s="97"/>
      <c r="K414" s="313"/>
      <c r="L414" s="113"/>
      <c r="M414" s="100"/>
      <c r="N414" s="116"/>
      <c r="O414" s="110" t="s">
        <v>146</v>
      </c>
      <c r="P414" s="92" t="s">
        <v>155</v>
      </c>
      <c r="Q414" s="156" t="s">
        <v>64</v>
      </c>
      <c r="R414" s="157" t="s">
        <v>65</v>
      </c>
      <c r="S414" s="140"/>
    </row>
    <row r="415" spans="1:19" s="102" customFormat="1" ht="105" customHeight="1">
      <c r="A415" s="89" t="s">
        <v>276</v>
      </c>
      <c r="B415" s="92" t="s">
        <v>277</v>
      </c>
      <c r="C415" s="92">
        <f>"https://zeroemissionbusconference.eu/"</f>
        <v>0</v>
      </c>
      <c r="D415" s="92" t="s">
        <v>278</v>
      </c>
      <c r="E415" s="93" t="s">
        <v>1176</v>
      </c>
      <c r="F415" s="92" t="s">
        <v>280</v>
      </c>
      <c r="G415" s="119" t="s">
        <v>281</v>
      </c>
      <c r="H415" s="104"/>
      <c r="I415" s="123"/>
      <c r="J415" s="97"/>
      <c r="K415" s="313"/>
      <c r="L415" s="164">
        <f>"Free ZEBinar Series:  https://zeroemissionbusconference.eu/zebinars-2020/"</f>
        <v>0</v>
      </c>
      <c r="M415" s="100"/>
      <c r="N415" s="116"/>
      <c r="O415" s="110" t="s">
        <v>146</v>
      </c>
      <c r="P415" s="92">
        <f>"https://avere.org/calendar/"</f>
        <v>0</v>
      </c>
      <c r="Q415" s="156" t="s">
        <v>64</v>
      </c>
      <c r="R415" s="157" t="s">
        <v>65</v>
      </c>
      <c r="S415" s="140"/>
    </row>
    <row r="416" spans="1:19" s="102" customFormat="1" ht="67.5" customHeight="1">
      <c r="A416" s="89">
        <f>"Free Webinar:&amp;nbsp;  What&amp;rsquo;s in the Infrastructure Bill?"</f>
        <v>0</v>
      </c>
      <c r="B416" s="92" t="s">
        <v>1177</v>
      </c>
      <c r="C416" s="92">
        <f>"https://hsrail.org/whats-infrastructure-bill"</f>
        <v>0</v>
      </c>
      <c r="D416" s="92"/>
      <c r="E416" s="93" t="s">
        <v>1178</v>
      </c>
      <c r="F416" s="92" t="s">
        <v>1179</v>
      </c>
      <c r="G416" s="119">
        <f>"&amp;hellip; Congress &amp;hellip; positioned the United States to make transformative investments &amp;mdash; unprecedented funding for high-speed, intercity and urban passenger rail."</f>
        <v>0</v>
      </c>
      <c r="H416" s="104"/>
      <c r="I416" s="123"/>
      <c r="J416" s="97"/>
      <c r="K416" s="313"/>
      <c r="L416" s="113">
        <f>"registration:  https://us06web.zoom.us/webinar/register/WN_oq5GTupLTtCYvFbdk49ECw"</f>
        <v>0</v>
      </c>
      <c r="M416" s="100"/>
      <c r="N416" s="116"/>
      <c r="O416" s="110" t="s">
        <v>194</v>
      </c>
      <c r="P416" s="92" t="s">
        <v>1180</v>
      </c>
      <c r="Q416" s="156" t="s">
        <v>53</v>
      </c>
      <c r="R416" s="157" t="s">
        <v>65</v>
      </c>
      <c r="S416" s="140"/>
    </row>
    <row r="417" spans="1:19" s="102" customFormat="1" ht="44.25" customHeight="1">
      <c r="A417" s="89">
        <f>"TSCW 2021 Gala Honoring Ted Rappaport"</f>
        <v>0</v>
      </c>
      <c r="B417" s="92" t="s">
        <v>1181</v>
      </c>
      <c r="C417" s="92">
        <f>"https://teslasciencecenter.org/events/gala-2021/"</f>
        <v>0</v>
      </c>
      <c r="D417" s="92" t="s">
        <v>576</v>
      </c>
      <c r="E417" s="93" t="s">
        <v>1182</v>
      </c>
      <c r="F417" s="92" t="s">
        <v>1183</v>
      </c>
      <c r="G417" s="119">
        <f>"&amp;hellip; worldwide event that celebrates innovators &amp;hellip; who reflect Nikola Tesla&amp;rsquo;s legacy of advancing technology for humanity."</f>
        <v>0</v>
      </c>
      <c r="H417" s="104"/>
      <c r="I417" s="123"/>
      <c r="J417" s="97">
        <f>"631‑886‑2632"</f>
        <v>0</v>
      </c>
      <c r="K417" s="313">
        <f>"mailto:events@teslasciencecenter.org"</f>
        <v>0</v>
      </c>
      <c r="L417" s="113">
        <f>"register:  https://teslasciencecenter.app.neoncrm.com/np/clients/teslasciencecenter/eventRegistration.jsp?event=1172&amp;"</f>
        <v>0</v>
      </c>
      <c r="M417" s="100">
        <f>"Prices:  $3, $33, $99, $168, $333"</f>
        <v>0</v>
      </c>
      <c r="N417" s="116"/>
      <c r="O417" s="110" t="s">
        <v>665</v>
      </c>
      <c r="P417" s="92" t="s">
        <v>826</v>
      </c>
      <c r="Q417" s="156" t="s">
        <v>439</v>
      </c>
      <c r="R417" s="326" t="s">
        <v>991</v>
      </c>
      <c r="S417" s="140"/>
    </row>
    <row r="418" spans="1:19" s="102" customFormat="1" ht="42.75" customHeight="1">
      <c r="A418" s="89"/>
      <c r="B418" s="92"/>
      <c r="C418" s="92">
        <f>"video:  https://www.youtube.com/watch?v=hN-jEFbr0SI"</f>
        <v>0</v>
      </c>
      <c r="D418" s="92"/>
      <c r="E418" s="93"/>
      <c r="F418" s="92" t="s">
        <v>1184</v>
      </c>
      <c r="G418" s="119"/>
      <c r="H418" s="104"/>
      <c r="I418" s="123"/>
      <c r="J418" s="97"/>
      <c r="K418" s="313"/>
      <c r="L418" s="113"/>
      <c r="M418" s="100"/>
      <c r="N418" s="116"/>
      <c r="O418" s="110"/>
      <c r="P418" s="92"/>
      <c r="Q418" s="156"/>
      <c r="R418" s="326"/>
      <c r="S418" s="140"/>
    </row>
    <row r="419" spans="1:19" s="88" customFormat="1" ht="58.5" customHeight="1">
      <c r="A419" s="203" t="s">
        <v>580</v>
      </c>
      <c r="B419" s="203">
        <f>"acad06-21-11"</f>
        <v>0</v>
      </c>
      <c r="C419" s="204">
        <f>"https://www.sae.org/learn/content/acad06/"</f>
        <v>0</v>
      </c>
      <c r="D419" s="92" t="s">
        <v>581</v>
      </c>
      <c r="E419" s="205" t="s">
        <v>1185</v>
      </c>
      <c r="F419" s="92" t="s">
        <v>1186</v>
      </c>
      <c r="G419" s="206" t="s">
        <v>584</v>
      </c>
      <c r="H419" s="207" t="s">
        <v>1187</v>
      </c>
      <c r="I419" s="135" t="s">
        <v>1188</v>
      </c>
      <c r="J419" s="92"/>
      <c r="K419" s="107"/>
      <c r="L419" s="106" t="s">
        <v>1189</v>
      </c>
      <c r="M419" s="92" t="s">
        <v>587</v>
      </c>
      <c r="N419" s="333" t="s">
        <v>588</v>
      </c>
      <c r="O419" s="106" t="s">
        <v>171</v>
      </c>
      <c r="P419" s="92">
        <f>"https://www.sae.org/learn/professional-development"</f>
        <v>0</v>
      </c>
      <c r="Q419" s="107" t="s">
        <v>64</v>
      </c>
      <c r="R419" s="108" t="s">
        <v>65</v>
      </c>
      <c r="S419" s="87"/>
    </row>
    <row r="420" spans="1:64" s="102" customFormat="1" ht="100.5" customHeight="1">
      <c r="A420" s="334">
        <f>"SAE CEU Course:  Robotics for Autonomous Vehicle Systems Bootcamp"</f>
        <v>0</v>
      </c>
      <c r="B420" s="335" t="s">
        <v>1190</v>
      </c>
      <c r="C420" s="336">
        <f>"https://www.sae.org/learn/content/c2012/"</f>
        <v>0</v>
      </c>
      <c r="D420" s="337" t="s">
        <v>48</v>
      </c>
      <c r="E420" s="338" t="s">
        <v>1191</v>
      </c>
      <c r="F420" s="337" t="s">
        <v>482</v>
      </c>
      <c r="G420" s="339">
        <f>"You&amp;rsquo;ll develop a deep, technical understanding of how to build autonomous systems by learning to program a mobile robot through hands-on approaches using ROS, Gazebo, and Python."</f>
        <v>0</v>
      </c>
      <c r="H420" s="340" t="s">
        <v>483</v>
      </c>
      <c r="I420" s="341"/>
      <c r="J420" s="342"/>
      <c r="K420" s="343"/>
      <c r="L420" s="344" t="s">
        <v>484</v>
      </c>
      <c r="M420" s="345" t="s">
        <v>485</v>
      </c>
      <c r="N420" s="346"/>
      <c r="O420" s="347" t="s">
        <v>171</v>
      </c>
      <c r="P420" s="337" t="s">
        <v>172</v>
      </c>
      <c r="Q420" s="348" t="s">
        <v>64</v>
      </c>
      <c r="R420" s="208" t="s">
        <v>65</v>
      </c>
      <c r="S420" s="87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</row>
    <row r="421" spans="1:64" ht="46.5" customHeight="1">
      <c r="A421" s="89">
        <f>"Advanced Automotive Battery Conference"</f>
        <v>0</v>
      </c>
      <c r="B421" s="92" t="s">
        <v>1192</v>
      </c>
      <c r="C421" s="92">
        <f>"https://www.advancedautobat.com/us"</f>
        <v>0</v>
      </c>
      <c r="D421" s="92" t="s">
        <v>1193</v>
      </c>
      <c r="E421" s="93" t="s">
        <v>1194</v>
      </c>
      <c r="F421" s="92">
        <f>"aabc-wh.png    238 x 117"</f>
        <v>0</v>
      </c>
      <c r="G421" s="119">
        <f>"&amp;hellip; will uncover the underlying technical and business issues that will impact the pace and path of vehicle electrification worldwide. "</f>
        <v>0</v>
      </c>
      <c r="H421" s="104"/>
      <c r="I421" s="96"/>
      <c r="J421" s="97">
        <f>"vox: (781) 972-5400"</f>
        <v>0</v>
      </c>
      <c r="K421" s="98">
        <f>"https://www.advancedautobat.com/contact-us"</f>
        <v>0</v>
      </c>
      <c r="L421" s="246">
        <f>"Speaker proposal:  https://www.advancedautobat.com/us/speaker-proposal"</f>
        <v>0</v>
      </c>
      <c r="M421" s="100">
        <f>"Brochure:  Applic. for .pdf download:  https://www.advancedautobat.com/us/2021-brochure-download-form"</f>
        <v>0</v>
      </c>
      <c r="N421" s="100"/>
      <c r="O421" s="114" t="s">
        <v>96</v>
      </c>
      <c r="P421" s="115" t="s">
        <v>1195</v>
      </c>
      <c r="Q421" s="117" t="s">
        <v>64</v>
      </c>
      <c r="R421" s="349" t="s">
        <v>65</v>
      </c>
      <c r="S421" s="87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</row>
    <row r="422" spans="1:64" ht="46.5" customHeight="1">
      <c r="A422" s="89"/>
      <c r="B422" s="92"/>
      <c r="C422" s="92"/>
      <c r="D422" s="92"/>
      <c r="E422" s="93"/>
      <c r="F422" s="93"/>
      <c r="G422" s="119"/>
      <c r="H422" s="104"/>
      <c r="I422" s="96"/>
      <c r="J422" s="97">
        <f>"fax: (781) 972-5425"</f>
        <v>0</v>
      </c>
      <c r="K422" s="98">
        <f>"mailto:ce@cambridgeenertech.com"</f>
        <v>0</v>
      </c>
      <c r="L422" s="246"/>
      <c r="M422" s="100"/>
      <c r="N422" s="100"/>
      <c r="O422" s="114"/>
      <c r="P422" s="115"/>
      <c r="Q422" s="117"/>
      <c r="R422" s="349"/>
      <c r="S422" s="87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</row>
    <row r="423" spans="1:64" ht="53.25" customHeight="1">
      <c r="A423" s="334" t="s">
        <v>486</v>
      </c>
      <c r="B423" s="335" t="s">
        <v>487</v>
      </c>
      <c r="C423" s="336">
        <f>"https://itsa.org/news/its-america-2021-annual-meeting-changing-date-location/"</f>
        <v>0</v>
      </c>
      <c r="D423" s="337" t="s">
        <v>1196</v>
      </c>
      <c r="E423" s="338" t="s">
        <v>1197</v>
      </c>
      <c r="F423" s="337" t="s">
        <v>1198</v>
      </c>
      <c r="G423" s="339" t="s">
        <v>491</v>
      </c>
      <c r="H423" s="350"/>
      <c r="I423" s="120"/>
      <c r="J423" s="121"/>
      <c r="K423" s="122"/>
      <c r="L423" s="246"/>
      <c r="M423" s="259"/>
      <c r="N423" s="236"/>
      <c r="O423" s="347">
        <f>"Intelligent Transportation Systems Society of America"</f>
        <v>0</v>
      </c>
      <c r="P423" s="337">
        <f>"https://www.itsamericaevents.com/"</f>
        <v>0</v>
      </c>
      <c r="Q423" s="348" t="s">
        <v>64</v>
      </c>
      <c r="R423" s="208" t="s">
        <v>65</v>
      </c>
      <c r="S423" s="87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</row>
    <row r="424" spans="1:64" s="102" customFormat="1" ht="21.75" customHeight="1">
      <c r="A424" s="334" t="s">
        <v>1199</v>
      </c>
      <c r="B424" s="335" t="s">
        <v>1200</v>
      </c>
      <c r="C424" s="336">
        <f>"https://aec-conference.eu/"</f>
        <v>0</v>
      </c>
      <c r="D424" s="337">
        <f>"Brussels, Belgium &lt;i&gt;and&lt;/i&gt; Virtual"</f>
        <v>0</v>
      </c>
      <c r="E424" s="338" t="s">
        <v>1201</v>
      </c>
      <c r="F424" s="337" t="s">
        <v>1202</v>
      </c>
      <c r="G424" s="339" t="s">
        <v>1203</v>
      </c>
      <c r="H424" s="351"/>
      <c r="I424" s="352"/>
      <c r="J424" s="342"/>
      <c r="K424" s="343"/>
      <c r="L424" s="353">
        <f>"registration:  https://livebyglevents.key4register.com/key4register/register.aspx?e=89&amp;c=1248"</f>
        <v>0</v>
      </c>
      <c r="M424" s="345"/>
      <c r="N424" s="346"/>
      <c r="O424" s="347" t="s">
        <v>146</v>
      </c>
      <c r="P424" s="337" t="s">
        <v>155</v>
      </c>
      <c r="Q424" s="348" t="s">
        <v>64</v>
      </c>
      <c r="R424" s="208" t="s">
        <v>65</v>
      </c>
      <c r="S424" s="87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</row>
    <row r="425" spans="1:64" ht="43.5" customHeight="1">
      <c r="A425" s="334"/>
      <c r="B425" s="335"/>
      <c r="C425" s="336"/>
      <c r="D425" s="337"/>
      <c r="E425" s="338"/>
      <c r="F425" s="337"/>
      <c r="G425" s="130">
        <f>"2021 is the year when we have to set out a clear phase-out plan for the Internal Combustion Engine."</f>
        <v>0</v>
      </c>
      <c r="H425" s="351"/>
      <c r="I425" s="352"/>
      <c r="J425" s="342"/>
      <c r="K425" s="343"/>
      <c r="L425" s="353"/>
      <c r="M425" s="345"/>
      <c r="N425" s="346"/>
      <c r="O425" s="347"/>
      <c r="P425" s="337"/>
      <c r="Q425" s="348"/>
      <c r="R425" s="208"/>
      <c r="S425" s="87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</row>
    <row r="426" spans="1:64" ht="57" customHeight="1">
      <c r="A426" s="334" t="s">
        <v>1204</v>
      </c>
      <c r="B426" s="354" t="s">
        <v>1205</v>
      </c>
      <c r="C426" s="336">
        <f>"http://ctrg2021.trgindia.org/"</f>
        <v>0</v>
      </c>
      <c r="D426" s="337" t="s">
        <v>1206</v>
      </c>
      <c r="E426" s="338" t="s">
        <v>1207</v>
      </c>
      <c r="F426" s="337" t="s">
        <v>1208</v>
      </c>
      <c r="G426" s="339" t="s">
        <v>1209</v>
      </c>
      <c r="H426" s="340"/>
      <c r="I426" s="352"/>
      <c r="J426" s="342">
        <f>"TRG Secretariat:  www.trgindia.org"</f>
        <v>0</v>
      </c>
      <c r="K426" s="343">
        <f>"mailto:trgindiamanager@gmail.com"</f>
        <v>0</v>
      </c>
      <c r="L426" s="355">
        <f>"Important Dates:  http://ctrg2021.trgindia.org/CTRG-dates.php"</f>
        <v>0</v>
      </c>
      <c r="M426" s="154"/>
      <c r="N426" s="316"/>
      <c r="O426" s="135" t="s">
        <v>118</v>
      </c>
      <c r="P426" s="128">
        <f>"http://www.trb.org/Calendar/Calendar.aspx"</f>
        <v>0</v>
      </c>
      <c r="Q426" s="348" t="s">
        <v>64</v>
      </c>
      <c r="R426" s="208" t="s">
        <v>65</v>
      </c>
      <c r="S426" s="87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</row>
    <row r="427" spans="1:64" ht="39.75" customHeight="1">
      <c r="A427" s="334"/>
      <c r="B427" s="354"/>
      <c r="C427" s="336"/>
      <c r="D427" s="337"/>
      <c r="E427" s="337"/>
      <c r="F427" s="337"/>
      <c r="G427" s="339"/>
      <c r="H427" s="340"/>
      <c r="I427" s="352"/>
      <c r="J427" s="342"/>
      <c r="K427" s="122">
        <f>"http://ctrg2021.trgindia.org/contact-us.php"</f>
        <v>0</v>
      </c>
      <c r="L427" s="355"/>
      <c r="M427" s="154"/>
      <c r="N427" s="316"/>
      <c r="O427" s="347" t="s">
        <v>1210</v>
      </c>
      <c r="P427" s="337">
        <f>"https://www.trgindia.org/"</f>
        <v>0</v>
      </c>
      <c r="Q427" s="348"/>
      <c r="R427" s="208"/>
      <c r="S427" s="87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</row>
    <row r="428" spans="1:64" s="102" customFormat="1" ht="61.5" customHeight="1">
      <c r="A428" s="334">
        <f>"ITEC India 2021"</f>
        <v>0</v>
      </c>
      <c r="B428" s="335" t="s">
        <v>1211</v>
      </c>
      <c r="C428" s="336">
        <f>"https://saeindia.org/events/itecindia-2021/"</f>
        <v>0</v>
      </c>
      <c r="D428" s="337" t="s">
        <v>1212</v>
      </c>
      <c r="E428" s="338" t="s">
        <v>1213</v>
      </c>
      <c r="F428" s="337" t="s">
        <v>607</v>
      </c>
      <c r="G428" s="339">
        <f>"Personal mobility is in the top of the mind priority of every consumer."</f>
        <v>0</v>
      </c>
      <c r="H428" s="340"/>
      <c r="I428" s="352"/>
      <c r="J428" s="342"/>
      <c r="K428" s="343"/>
      <c r="L428" s="353">
        <f>"Call for Papers:  https://saeindia.org/jbframework/uploads/2021/08/ITEC-INDIA-2021-Call-for-Papers-flyer-06082021-1.pdf"</f>
        <v>0</v>
      </c>
      <c r="M428" s="356">
        <f>"Login page for submissions:  https://cmt3.research.microsoft.com/User/Login?ReturnUrl=%2FITECINDIA2021"</f>
        <v>0</v>
      </c>
      <c r="N428" s="346">
        <f>"Abstracts and Digests due: 2021/08/31 (extended)"</f>
        <v>0</v>
      </c>
      <c r="O428" s="357" t="s">
        <v>610</v>
      </c>
      <c r="P428" s="337">
        <f>"https://tec.ieee.org/conferences-workshops"</f>
        <v>0</v>
      </c>
      <c r="Q428" s="358" t="s">
        <v>53</v>
      </c>
      <c r="R428" s="243" t="s">
        <v>65</v>
      </c>
      <c r="S428" s="87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</row>
    <row r="429" spans="1:64" s="102" customFormat="1" ht="54" customHeight="1">
      <c r="A429" s="334"/>
      <c r="B429" s="335"/>
      <c r="C429" s="336"/>
      <c r="D429" s="337"/>
      <c r="E429" s="338"/>
      <c r="F429" s="337"/>
      <c r="G429" s="339"/>
      <c r="H429" s="340"/>
      <c r="I429" s="352"/>
      <c r="J429" s="342"/>
      <c r="K429" s="343"/>
      <c r="L429" s="353">
        <f>"Template for Extended Abstract:  https://saeindia.org/jbframework/uploads/2021/06/Template-for-extended-abstract-ITEC-INDIA-2021.pdf"</f>
        <v>0</v>
      </c>
      <c r="M429" s="356"/>
      <c r="N429" s="346"/>
      <c r="O429" s="357"/>
      <c r="P429" s="337"/>
      <c r="Q429" s="358"/>
      <c r="R429" s="243"/>
      <c r="S429" s="87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</row>
    <row r="430" spans="1:64" s="102" customFormat="1" ht="87" customHeight="1">
      <c r="A430" s="334" t="s">
        <v>1214</v>
      </c>
      <c r="B430" s="335" t="s">
        <v>86</v>
      </c>
      <c r="C430" s="336">
        <f>"http://transportationcamp.org/events/dc2022/"</f>
        <v>0</v>
      </c>
      <c r="D430" s="337" t="s">
        <v>363</v>
      </c>
      <c r="E430" s="338" t="s">
        <v>1215</v>
      </c>
      <c r="F430" s="337" t="s">
        <v>89</v>
      </c>
      <c r="G430" s="339">
        <f>"With new infrastructure legislation &amp;hellip; the 2022 virtual TransportationCamp DC will be more important than ever."</f>
        <v>0</v>
      </c>
      <c r="H430" s="340">
        <f>"registration:  https://t4america.org/transportation-camp/"</f>
        <v>0</v>
      </c>
      <c r="I430" s="352"/>
      <c r="J430" s="359"/>
      <c r="K430" s="360">
        <f>"Series link:  http://transportationcamp.org/"</f>
        <v>0</v>
      </c>
      <c r="L430" s="347">
        <f>"Essential guide:  http://transportationcamp.org/2011/02/how-transportationcamp-works-the-essential-guide/"</f>
        <v>0</v>
      </c>
      <c r="M430" s="361"/>
      <c r="N430" s="346"/>
      <c r="O430" s="347"/>
      <c r="P430" s="337"/>
      <c r="Q430" s="348" t="s">
        <v>53</v>
      </c>
      <c r="R430" s="212" t="s">
        <v>91</v>
      </c>
      <c r="S430" s="87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</row>
    <row r="431" spans="1:64" s="102" customFormat="1" ht="52.5" customHeight="1">
      <c r="A431" s="334" t="s">
        <v>112</v>
      </c>
      <c r="B431" s="335" t="s">
        <v>113</v>
      </c>
      <c r="C431" s="336">
        <f>"http://www.trb.org/AnnualMeeting/AnnualMeeting.aspx"</f>
        <v>0</v>
      </c>
      <c r="D431" s="337" t="s">
        <v>363</v>
      </c>
      <c r="E431" s="338" t="s">
        <v>1216</v>
      </c>
      <c r="F431" s="337" t="s">
        <v>116</v>
      </c>
      <c r="G431" s="339" t="s">
        <v>117</v>
      </c>
      <c r="H431" s="340"/>
      <c r="I431" s="362">
        <f>"Exhibitor's Information:  https://events.jspargo.com/TRB22/Public/enter.aspx"</f>
        <v>0</v>
      </c>
      <c r="J431" s="362"/>
      <c r="K431" s="363">
        <f>"http://www.trb.org/AnnualMeeting/ContactUs1.aspx"</f>
        <v>0</v>
      </c>
      <c r="L431" s="99">
        <f>"Instructions for Authors:  https://trb.secure-platform.com/a/page/TRBPaperReview"</f>
        <v>0</v>
      </c>
      <c r="M431" s="100">
        <f>"TRB login:  https://www.editorialmanager.com/trbam/default.aspx"</f>
        <v>0</v>
      </c>
      <c r="N431" s="101">
        <f>"Papers due: 2021/08/01"</f>
        <v>0</v>
      </c>
      <c r="O431" s="347" t="s">
        <v>118</v>
      </c>
      <c r="P431" s="337">
        <f>"http://www.trb.org/Calendar/Calendar.aspx"</f>
        <v>0</v>
      </c>
      <c r="Q431" s="348" t="s">
        <v>64</v>
      </c>
      <c r="R431" s="208" t="s">
        <v>65</v>
      </c>
      <c r="S431" s="140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</row>
    <row r="432" spans="1:64" ht="61.5" customHeight="1">
      <c r="A432" s="334"/>
      <c r="B432" s="335"/>
      <c r="C432" s="127">
        <f>"http://www.trb.org/main/blurbs/182150.aspx"</f>
        <v>0</v>
      </c>
      <c r="D432" s="337"/>
      <c r="E432" s="338"/>
      <c r="F432" s="337"/>
      <c r="G432" s="339"/>
      <c r="H432" s="340"/>
      <c r="I432" s="138" t="s">
        <v>119</v>
      </c>
      <c r="J432" s="138"/>
      <c r="K432" s="141" t="s">
        <v>120</v>
      </c>
      <c r="L432" s="353">
        <f>"Committees and Approved Subject Areas:  https://annualmeeting.mytrb.org/CallForPapers/index"</f>
        <v>0</v>
      </c>
      <c r="M432" s="345">
        <f>"Login Instructions:  http://onlinepubs.trb.org/onlinepubs/TRREM/author/AccessTRRforAuthors.pdf"</f>
        <v>0</v>
      </c>
      <c r="N432" s="346">
        <f>"registration:  http://www.trb.org/AnnualMeeting/Registration.aspx"</f>
        <v>0</v>
      </c>
      <c r="O432" s="347"/>
      <c r="P432" s="337"/>
      <c r="Q432" s="348"/>
      <c r="R432" s="208"/>
      <c r="S432" s="87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</row>
    <row r="433" spans="1:64" s="102" customFormat="1" ht="15.75" customHeight="1">
      <c r="A433" s="334" t="s">
        <v>1217</v>
      </c>
      <c r="B433" s="335" t="s">
        <v>1218</v>
      </c>
      <c r="C433" s="336">
        <f>"https://startupprize.eu/"</f>
        <v>0</v>
      </c>
      <c r="D433" s="337" t="s">
        <v>1219</v>
      </c>
      <c r="E433" s="338">
        <f>"Contest open:  2021/09/30 – 11/30"</f>
        <v>0</v>
      </c>
      <c r="F433" s="337" t="s">
        <v>1220</v>
      </c>
      <c r="G433" s="339" t="s">
        <v>1221</v>
      </c>
      <c r="H433" s="364" t="s">
        <v>1222</v>
      </c>
      <c r="I433" s="365">
        <f>" for 2021-2022 manifesto&gt;"</f>
        <v>0</v>
      </c>
      <c r="J433" s="365"/>
      <c r="K433" s="366">
        <f>"Live reading of Manifesto:  https://www.facebook.com/watch/live/?v=495326341530104&amp;ref=watch_permalink"</f>
        <v>0</v>
      </c>
      <c r="L433" s="353">
        <f>"Prize Rules:  https://startupprize.eu/the-prize-rules/"</f>
        <v>0</v>
      </c>
      <c r="M433" s="367">
        <f>"Contact:  https://startupprize.eu/contact/"</f>
        <v>0</v>
      </c>
      <c r="N433" s="346" t="s">
        <v>1223</v>
      </c>
      <c r="O433" s="347" t="s">
        <v>1224</v>
      </c>
      <c r="P433" s="337">
        <f>"https://erticonetwork.com/ertico-activities/"</f>
        <v>0</v>
      </c>
      <c r="Q433" s="348" t="s">
        <v>64</v>
      </c>
      <c r="R433" s="208" t="s">
        <v>65</v>
      </c>
      <c r="S433" s="87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</row>
    <row r="434" spans="1:64" s="102" customFormat="1" ht="50.25" customHeight="1">
      <c r="A434" s="334"/>
      <c r="B434" s="335"/>
      <c r="C434" s="336"/>
      <c r="D434" s="337"/>
      <c r="E434" s="338"/>
      <c r="F434" s="337"/>
      <c r="G434" s="339"/>
      <c r="H434" s="364"/>
      <c r="I434" s="365"/>
      <c r="J434" s="365"/>
      <c r="K434" s="366"/>
      <c r="L434" s="353"/>
      <c r="M434" s="367"/>
      <c r="N434" s="346"/>
      <c r="O434" s="347"/>
      <c r="P434" s="337"/>
      <c r="Q434" s="348"/>
      <c r="R434" s="208"/>
      <c r="S434" s="87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</row>
    <row r="435" spans="1:64" s="102" customFormat="1" ht="93" customHeight="1">
      <c r="A435" s="334"/>
      <c r="B435" s="335"/>
      <c r="C435" s="336">
        <f>"Alt. Link:  https://mailchi.mp/fa76e74802ee/4th-eusp-edition-rail-manifesto-new-website?e=b290ca882a"</f>
        <v>0</v>
      </c>
      <c r="D435" s="337"/>
      <c r="E435" s="338"/>
      <c r="F435" s="337"/>
      <c r="G435" s="339"/>
      <c r="H435" s="368">
        <f>"European Startup Manifesto on Rail (2021):  https://startupprize.eu/wp-content/uploads/V4_manifesto_2021_17.06.pdf"</f>
        <v>0</v>
      </c>
      <c r="I435" s="369">
        <f>"Article in the Brussels Times (2021):  https://www.brusselstimes.com/news/eu-affairs/177398/european-entrepreneurs-join-forces-with-eu-politicians-to-disrupt-mobility-sector/"</f>
        <v>0</v>
      </c>
      <c r="J435" s="369"/>
      <c r="K435" s="370">
        <f>"Sign the Manifesto:  https://form.typeform.com/to/RCLKPLiM"</f>
        <v>0</v>
      </c>
      <c r="L435" s="353" t="s">
        <v>1225</v>
      </c>
      <c r="M435" s="367"/>
      <c r="N435" s="346"/>
      <c r="O435" s="347"/>
      <c r="P435" s="337"/>
      <c r="Q435" s="348"/>
      <c r="R435" s="208"/>
      <c r="S435" s="87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</row>
    <row r="436" spans="1:64" s="102" customFormat="1" ht="50.25" customHeight="1">
      <c r="A436" s="334"/>
      <c r="B436" s="335"/>
      <c r="C436" s="336">
        <f>"Prize ceremony:  https://startupprize.eu/the-prize-ceremony/"</f>
        <v>0</v>
      </c>
      <c r="D436" s="337"/>
      <c r="E436" s="338" t="s">
        <v>1226</v>
      </c>
      <c r="F436" s="337"/>
      <c r="G436" s="339"/>
      <c r="H436" s="371">
        <f>"European Mobility Startup Manifesto (2020):  https://startupprize.eu/wp-content/uploads/EUSP-MANIFESTO-6pages-new.pdf"</f>
        <v>0</v>
      </c>
      <c r="I436" s="372">
        <f>"Alt. Link:  https://erticonetwork.com/ertico-supports-the-first-european-mobility-startup-manifesto/"</f>
        <v>0</v>
      </c>
      <c r="J436" s="372"/>
      <c r="K436" s="373">
        <f>"Other link:  https://www.via-id.com/en/manifesto-22-proposals-to-feed-the-eu-mobility-strategy/"</f>
        <v>0</v>
      </c>
      <c r="L436" s="344">
        <f>"Frequently Asked Questions:  https://startupprize.eu/frequently-asked-questions/"</f>
        <v>0</v>
      </c>
      <c r="M436" s="151">
        <f>"Free Pass:  "</f>
        <v>0</v>
      </c>
      <c r="N436" s="346"/>
      <c r="O436" s="347"/>
      <c r="P436" s="337"/>
      <c r="Q436" s="348"/>
      <c r="R436" s="208"/>
      <c r="S436" s="87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</row>
    <row r="437" spans="1:64" s="102" customFormat="1" ht="67.5" customHeight="1">
      <c r="A437" s="334" t="s">
        <v>1227</v>
      </c>
      <c r="B437" s="335" t="s">
        <v>239</v>
      </c>
      <c r="C437" s="336">
        <f>"https://www.internationalbatteryseminar.com/"</f>
        <v>0</v>
      </c>
      <c r="D437" s="337" t="s">
        <v>1228</v>
      </c>
      <c r="E437" s="338" t="s">
        <v>1229</v>
      </c>
      <c r="F437" s="337" t="s">
        <v>241</v>
      </c>
      <c r="G437" s="339" t="s">
        <v>242</v>
      </c>
      <c r="H437" s="340"/>
      <c r="I437" s="352"/>
      <c r="J437" s="359"/>
      <c r="K437" s="343"/>
      <c r="L437" s="347">
        <f>"Registration:  https://www.internationalbatteryseminar.com/#"</f>
        <v>0</v>
      </c>
      <c r="M437" s="337">
        <f>"Brochure:  Applic. for .pdf download:  https://www.internationalbatteryseminar.com/2021-Brochure-Download-Form"</f>
        <v>0</v>
      </c>
      <c r="N437" s="337"/>
      <c r="O437" s="347" t="s">
        <v>243</v>
      </c>
      <c r="P437" s="337">
        <f>"https://www.cambridgeenertech.com/"</f>
        <v>0</v>
      </c>
      <c r="Q437" s="348" t="s">
        <v>64</v>
      </c>
      <c r="R437" s="208" t="s">
        <v>65</v>
      </c>
      <c r="S437" s="87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</row>
    <row r="438" spans="1:64" s="102" customFormat="1" ht="78" customHeight="1">
      <c r="A438" s="334" t="s">
        <v>282</v>
      </c>
      <c r="B438" s="337" t="s">
        <v>283</v>
      </c>
      <c r="C438" s="336">
        <f>"https://www.intertraffic.com/amsterdam/"</f>
        <v>0</v>
      </c>
      <c r="D438" s="337" t="s">
        <v>284</v>
      </c>
      <c r="E438" s="338" t="s">
        <v>1230</v>
      </c>
      <c r="F438" s="337" t="s">
        <v>286</v>
      </c>
      <c r="G438" s="339" t="s">
        <v>1231</v>
      </c>
      <c r="H438" s="374"/>
      <c r="I438" s="347"/>
      <c r="J438" s="342"/>
      <c r="K438" s="343">
        <f>"mailto:intertraffic@rai.nl"</f>
        <v>0</v>
      </c>
      <c r="L438" s="353">
        <f>"Registration:  https://www.intertraffic.com/amsterdam/registration/"</f>
        <v>0</v>
      </c>
      <c r="M438" s="345" t="s">
        <v>1232</v>
      </c>
      <c r="N438" s="375">
        <f>"ITSUP (for startups):  https://www.intertraffic.com/amsterdam/programme/itsup/"</f>
        <v>0</v>
      </c>
      <c r="O438" s="347" t="s">
        <v>288</v>
      </c>
      <c r="P438" s="337" t="s">
        <v>289</v>
      </c>
      <c r="Q438" s="348" t="s">
        <v>64</v>
      </c>
      <c r="R438" s="208" t="s">
        <v>65</v>
      </c>
      <c r="S438" s="87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</row>
    <row r="439" spans="1:64" s="102" customFormat="1" ht="61.5" customHeight="1">
      <c r="A439" s="334" t="s">
        <v>163</v>
      </c>
      <c r="B439" s="335" t="s">
        <v>1233</v>
      </c>
      <c r="C439" s="336">
        <f>"https://www.sae.org/learn/content/c1869"</f>
        <v>0</v>
      </c>
      <c r="D439" s="337" t="s">
        <v>1234</v>
      </c>
      <c r="E439" s="338" t="s">
        <v>1235</v>
      </c>
      <c r="F439" s="337" t="s">
        <v>167</v>
      </c>
      <c r="G439" s="339" t="s">
        <v>168</v>
      </c>
      <c r="H439" s="340">
        <f>"Instructor: Alan Moore"</f>
        <v>0</v>
      </c>
      <c r="I439" s="352"/>
      <c r="J439" s="359"/>
      <c r="K439" s="343"/>
      <c r="L439" s="347" t="s">
        <v>169</v>
      </c>
      <c r="M439" s="361" t="s">
        <v>170</v>
      </c>
      <c r="N439" s="376"/>
      <c r="O439" s="347" t="s">
        <v>171</v>
      </c>
      <c r="P439" s="337" t="s">
        <v>172</v>
      </c>
      <c r="Q439" s="348" t="s">
        <v>64</v>
      </c>
      <c r="R439" s="208" t="s">
        <v>65</v>
      </c>
      <c r="S439" s="87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</row>
    <row r="440" spans="1:64" s="102" customFormat="1" ht="100.5" customHeight="1">
      <c r="A440" s="377" t="s">
        <v>304</v>
      </c>
      <c r="B440" s="377" t="s">
        <v>1236</v>
      </c>
      <c r="C440" s="378">
        <f>"https://www.sae.org/learn/content/c1603/"</f>
        <v>0</v>
      </c>
      <c r="D440" s="378" t="s">
        <v>1234</v>
      </c>
      <c r="E440" s="379" t="s">
        <v>1237</v>
      </c>
      <c r="F440" s="337" t="s">
        <v>307</v>
      </c>
      <c r="G440" s="380" t="s">
        <v>308</v>
      </c>
      <c r="H440" s="368" t="s">
        <v>309</v>
      </c>
      <c r="I440" s="352"/>
      <c r="J440" s="342"/>
      <c r="K440" s="343"/>
      <c r="L440" s="344" t="s">
        <v>310</v>
      </c>
      <c r="M440" s="381" t="s">
        <v>311</v>
      </c>
      <c r="N440" s="382"/>
      <c r="O440" s="357" t="s">
        <v>171</v>
      </c>
      <c r="P440" s="337" t="s">
        <v>172</v>
      </c>
      <c r="Q440" s="358" t="s">
        <v>64</v>
      </c>
      <c r="R440" s="208" t="s">
        <v>65</v>
      </c>
      <c r="S440" s="87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</row>
    <row r="441" spans="1:64" s="102" customFormat="1" ht="78" customHeight="1">
      <c r="A441" s="334" t="s">
        <v>1136</v>
      </c>
      <c r="B441" s="335" t="s">
        <v>1238</v>
      </c>
      <c r="C441" s="336">
        <f>"https://www.sae.org/learn/content/c1950/"</f>
        <v>0</v>
      </c>
      <c r="D441" s="337" t="s">
        <v>1234</v>
      </c>
      <c r="E441" s="338" t="s">
        <v>1237</v>
      </c>
      <c r="F441" s="337" t="s">
        <v>1138</v>
      </c>
      <c r="G441" s="339">
        <f>"&amp;hellip; safety has some of the most complex requirements in the development of [autonomous] vehicles.&amp;nbsp; However, there are many misconceptions involving safety and the concept of safety as applied to [them]."</f>
        <v>0</v>
      </c>
      <c r="H441" s="340" t="s">
        <v>1139</v>
      </c>
      <c r="I441" s="352"/>
      <c r="J441" s="342"/>
      <c r="K441" s="343"/>
      <c r="L441" s="344" t="s">
        <v>310</v>
      </c>
      <c r="M441" s="381" t="s">
        <v>311</v>
      </c>
      <c r="N441" s="383"/>
      <c r="O441" s="347" t="s">
        <v>171</v>
      </c>
      <c r="P441" s="337" t="s">
        <v>172</v>
      </c>
      <c r="Q441" s="348" t="s">
        <v>64</v>
      </c>
      <c r="R441" s="208" t="s">
        <v>65</v>
      </c>
      <c r="S441" s="87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</row>
    <row r="442" spans="1:64" s="102" customFormat="1" ht="63.75" customHeight="1">
      <c r="A442" s="334" t="s">
        <v>754</v>
      </c>
      <c r="B442" s="335" t="s">
        <v>1239</v>
      </c>
      <c r="C442" s="336">
        <f>"https://www.sae.org/learn/content/c1934/"</f>
        <v>0</v>
      </c>
      <c r="D442" s="337" t="s">
        <v>966</v>
      </c>
      <c r="E442" s="338" t="s">
        <v>1240</v>
      </c>
      <c r="F442" s="337" t="s">
        <v>757</v>
      </c>
      <c r="G442" s="339" t="s">
        <v>758</v>
      </c>
      <c r="H442" s="340">
        <f>"Instructor: Rajeev Thakur"</f>
        <v>0</v>
      </c>
      <c r="I442" s="352"/>
      <c r="J442" s="359"/>
      <c r="K442" s="343"/>
      <c r="L442" s="353" t="s">
        <v>169</v>
      </c>
      <c r="M442" s="381" t="s">
        <v>170</v>
      </c>
      <c r="N442" s="383"/>
      <c r="O442" s="347" t="s">
        <v>171</v>
      </c>
      <c r="P442" s="337">
        <f>"https://www.sae.org/learn/professional-development"</f>
        <v>0</v>
      </c>
      <c r="Q442" s="348" t="s">
        <v>64</v>
      </c>
      <c r="R442" s="208" t="s">
        <v>65</v>
      </c>
      <c r="S442" s="87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</row>
    <row r="443" spans="1:64" s="102" customFormat="1" ht="63.75" customHeight="1">
      <c r="A443" s="334" t="s">
        <v>1101</v>
      </c>
      <c r="B443" s="335" t="s">
        <v>1241</v>
      </c>
      <c r="C443" s="336">
        <f>"https://www.sae.org/learn/content/c0828/"</f>
        <v>0</v>
      </c>
      <c r="D443" s="337" t="s">
        <v>966</v>
      </c>
      <c r="E443" s="338" t="s">
        <v>1242</v>
      </c>
      <c r="F443" s="337" t="s">
        <v>1104</v>
      </c>
      <c r="G443" s="339" t="s">
        <v>1105</v>
      </c>
      <c r="H443" s="340">
        <f>"Instructor: James Masiak"</f>
        <v>0</v>
      </c>
      <c r="I443" s="352"/>
      <c r="J443" s="359"/>
      <c r="K443" s="343"/>
      <c r="L443" s="347" t="s">
        <v>1106</v>
      </c>
      <c r="M443" s="361" t="s">
        <v>329</v>
      </c>
      <c r="N443" s="376"/>
      <c r="O443" s="347" t="s">
        <v>171</v>
      </c>
      <c r="P443" s="337" t="s">
        <v>172</v>
      </c>
      <c r="Q443" s="348" t="s">
        <v>64</v>
      </c>
      <c r="R443" s="208" t="s">
        <v>65</v>
      </c>
      <c r="S443" s="87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</row>
    <row r="444" spans="1:64" s="102" customFormat="1" ht="60.75" customHeight="1">
      <c r="A444" s="334" t="s">
        <v>760</v>
      </c>
      <c r="B444" s="335" t="s">
        <v>1243</v>
      </c>
      <c r="C444" s="336">
        <f>"https://www.sae.org/learn/content/c1935/"</f>
        <v>0</v>
      </c>
      <c r="D444" s="337" t="s">
        <v>966</v>
      </c>
      <c r="E444" s="338" t="s">
        <v>1244</v>
      </c>
      <c r="F444" s="337" t="s">
        <v>757</v>
      </c>
      <c r="G444" s="339" t="s">
        <v>763</v>
      </c>
      <c r="H444" s="340">
        <f>"Instructor: Rajeev Thakur"</f>
        <v>0</v>
      </c>
      <c r="I444" s="352"/>
      <c r="J444" s="359"/>
      <c r="K444" s="343"/>
      <c r="L444" s="353" t="s">
        <v>169</v>
      </c>
      <c r="M444" s="381" t="s">
        <v>170</v>
      </c>
      <c r="N444" s="383"/>
      <c r="O444" s="347" t="s">
        <v>171</v>
      </c>
      <c r="P444" s="337">
        <f aca="true" t="shared" si="7" ref="P444:P445">"https://www.sae.org/learn/professional-development"</f>
        <v>0</v>
      </c>
      <c r="Q444" s="348" t="s">
        <v>64</v>
      </c>
      <c r="R444" s="208" t="s">
        <v>65</v>
      </c>
      <c r="S444" s="87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</row>
    <row r="445" spans="1:64" s="102" customFormat="1" ht="52.5" customHeight="1">
      <c r="A445" s="334" t="s">
        <v>370</v>
      </c>
      <c r="B445" s="335" t="s">
        <v>1245</v>
      </c>
      <c r="C445" s="336">
        <f>"https://www.sae.org/learn/content/c2001/"</f>
        <v>0</v>
      </c>
      <c r="D445" s="337" t="s">
        <v>966</v>
      </c>
      <c r="E445" s="338" t="s">
        <v>1246</v>
      </c>
      <c r="F445" s="337" t="s">
        <v>374</v>
      </c>
      <c r="G445" s="339" t="s">
        <v>375</v>
      </c>
      <c r="H445" s="340" t="s">
        <v>376</v>
      </c>
      <c r="I445" s="352"/>
      <c r="J445" s="359"/>
      <c r="K445" s="343"/>
      <c r="L445" s="353" t="s">
        <v>169</v>
      </c>
      <c r="M445" s="381" t="s">
        <v>170</v>
      </c>
      <c r="N445" s="383">
        <f>"Instructor: Yves Racette"</f>
        <v>0</v>
      </c>
      <c r="O445" s="347" t="s">
        <v>171</v>
      </c>
      <c r="P445" s="337">
        <f t="shared" si="7"/>
        <v>0</v>
      </c>
      <c r="Q445" s="348" t="s">
        <v>64</v>
      </c>
      <c r="R445" s="208" t="s">
        <v>65</v>
      </c>
      <c r="S445" s="87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</row>
    <row r="446" spans="1:64" s="102" customFormat="1" ht="100.5" customHeight="1">
      <c r="A446" s="334">
        <f>"SAE CEU Course:  Robotics for Autonomous Vehicle Systems Bootcamp"</f>
        <v>0</v>
      </c>
      <c r="B446" s="335" t="s">
        <v>1247</v>
      </c>
      <c r="C446" s="336">
        <f>"https://www.sae.org/learn/content/c2012/"</f>
        <v>0</v>
      </c>
      <c r="D446" s="337" t="s">
        <v>48</v>
      </c>
      <c r="E446" s="338" t="s">
        <v>1248</v>
      </c>
      <c r="F446" s="337" t="s">
        <v>482</v>
      </c>
      <c r="G446" s="339">
        <f>"You&amp;rsquo;ll develop a deep, technical understanding of how to build autonomous systems by learning to program a mobile robot through hands-on approaches using ROS, Gazebo, and Python."</f>
        <v>0</v>
      </c>
      <c r="H446" s="340" t="s">
        <v>483</v>
      </c>
      <c r="I446" s="341"/>
      <c r="J446" s="342"/>
      <c r="K446" s="343"/>
      <c r="L446" s="344" t="s">
        <v>484</v>
      </c>
      <c r="M446" s="345" t="s">
        <v>485</v>
      </c>
      <c r="N446" s="346"/>
      <c r="O446" s="347" t="s">
        <v>171</v>
      </c>
      <c r="P446" s="337" t="s">
        <v>172</v>
      </c>
      <c r="Q446" s="348" t="s">
        <v>64</v>
      </c>
      <c r="R446" s="208" t="s">
        <v>65</v>
      </c>
      <c r="S446" s="87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</row>
    <row r="447" spans="1:64" s="102" customFormat="1" ht="27" customHeight="1">
      <c r="A447" s="334" t="s">
        <v>1249</v>
      </c>
      <c r="B447" s="335" t="s">
        <v>267</v>
      </c>
      <c r="C447" s="336" t="s">
        <v>1250</v>
      </c>
      <c r="D447" s="337" t="s">
        <v>435</v>
      </c>
      <c r="E447" s="338" t="s">
        <v>1251</v>
      </c>
      <c r="F447" s="337" t="s">
        <v>1252</v>
      </c>
      <c r="G447" s="339" t="s">
        <v>271</v>
      </c>
      <c r="H447" s="384"/>
      <c r="I447" s="352"/>
      <c r="J447" s="342"/>
      <c r="K447" s="343"/>
      <c r="L447" s="385" t="s">
        <v>1253</v>
      </c>
      <c r="M447" s="345">
        <f>"Submission Portal login:  https://edas.info/N28600"</f>
        <v>0</v>
      </c>
      <c r="N447" s="346" t="s">
        <v>1254</v>
      </c>
      <c r="O447" s="347" t="s">
        <v>274</v>
      </c>
      <c r="P447" s="337">
        <f>"https://ieeesystemscouncil.org/pages/conferences"</f>
        <v>0</v>
      </c>
      <c r="Q447" s="348" t="s">
        <v>64</v>
      </c>
      <c r="R447" s="208" t="s">
        <v>65</v>
      </c>
      <c r="S447" s="87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</row>
    <row r="448" spans="1:64" s="102" customFormat="1" ht="42" customHeight="1">
      <c r="A448" s="334"/>
      <c r="B448" s="335"/>
      <c r="C448" s="336"/>
      <c r="D448" s="337"/>
      <c r="E448" s="338"/>
      <c r="F448" s="337"/>
      <c r="G448" s="339"/>
      <c r="H448" s="384"/>
      <c r="I448" s="352"/>
      <c r="J448" s="342"/>
      <c r="K448" s="343"/>
      <c r="L448" s="385">
        <f>"https://2022.ieeesyscon.org/wp-content/uploads/sites/49/2021/06/syscon2022-cfp_web-03.pdf"</f>
        <v>0</v>
      </c>
      <c r="M448" s="345"/>
      <c r="N448" s="346">
        <f>"Tutorial submission:  2021/10/01"</f>
        <v>0</v>
      </c>
      <c r="O448" s="347"/>
      <c r="P448" s="337"/>
      <c r="Q448" s="348"/>
      <c r="R448" s="208"/>
      <c r="S448" s="87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</row>
    <row r="449" spans="1:64" s="102" customFormat="1" ht="43.5" customHeight="1">
      <c r="A449" s="334"/>
      <c r="B449" s="335"/>
      <c r="C449" s="336"/>
      <c r="D449" s="337"/>
      <c r="E449" s="338"/>
      <c r="F449" s="337"/>
      <c r="G449" s="339"/>
      <c r="H449" s="384"/>
      <c r="I449" s="352"/>
      <c r="J449" s="342"/>
      <c r="K449" s="343"/>
      <c r="L449" s="386">
        <f>"Author Information:  https://2022.ieeesyscon.org/author-information/"</f>
        <v>0</v>
      </c>
      <c r="M449" s="345"/>
      <c r="N449" s="346">
        <f>"Abstract &amp; full paper submission:  2021/10/22"</f>
        <v>0</v>
      </c>
      <c r="O449" s="347"/>
      <c r="P449" s="337"/>
      <c r="Q449" s="348"/>
      <c r="R449" s="208"/>
      <c r="S449" s="87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</row>
    <row r="450" spans="1:64" s="102" customFormat="1" ht="61.5" customHeight="1">
      <c r="A450" s="377" t="s">
        <v>1255</v>
      </c>
      <c r="B450" s="377" t="s">
        <v>1256</v>
      </c>
      <c r="C450" s="378">
        <f>"https://www.sae.org/learn/content/c1019/"</f>
        <v>0</v>
      </c>
      <c r="D450" s="378" t="s">
        <v>581</v>
      </c>
      <c r="E450" s="379" t="s">
        <v>1257</v>
      </c>
      <c r="F450" s="337" t="s">
        <v>326</v>
      </c>
      <c r="G450" s="380" t="s">
        <v>1258</v>
      </c>
      <c r="H450" s="368" t="s">
        <v>327</v>
      </c>
      <c r="I450" s="352"/>
      <c r="J450" s="342"/>
      <c r="K450" s="343"/>
      <c r="L450" s="344" t="s">
        <v>169</v>
      </c>
      <c r="M450" s="381" t="s">
        <v>170</v>
      </c>
      <c r="N450" s="382"/>
      <c r="O450" s="347" t="s">
        <v>171</v>
      </c>
      <c r="P450" s="337">
        <f>"https://www.sae.org/learn/professional-development"</f>
        <v>0</v>
      </c>
      <c r="Q450" s="348" t="s">
        <v>64</v>
      </c>
      <c r="R450" s="208" t="s">
        <v>65</v>
      </c>
      <c r="S450" s="87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</row>
    <row r="451" spans="1:64" s="102" customFormat="1" ht="61.5" customHeight="1">
      <c r="A451" s="334" t="s">
        <v>1107</v>
      </c>
      <c r="B451" s="335" t="s">
        <v>1259</v>
      </c>
      <c r="C451" s="336">
        <f>"https://www.sae.org/learn/content/c0626/"</f>
        <v>0</v>
      </c>
      <c r="D451" s="337" t="s">
        <v>581</v>
      </c>
      <c r="E451" s="338" t="s">
        <v>1260</v>
      </c>
      <c r="F451" s="337" t="s">
        <v>326</v>
      </c>
      <c r="G451" s="339" t="s">
        <v>1110</v>
      </c>
      <c r="H451" s="340" t="s">
        <v>327</v>
      </c>
      <c r="I451" s="352"/>
      <c r="J451" s="342"/>
      <c r="K451" s="343"/>
      <c r="L451" s="387" t="s">
        <v>310</v>
      </c>
      <c r="M451" s="345" t="s">
        <v>311</v>
      </c>
      <c r="N451" s="382"/>
      <c r="O451" s="357" t="s">
        <v>171</v>
      </c>
      <c r="P451" s="337" t="s">
        <v>172</v>
      </c>
      <c r="Q451" s="358" t="s">
        <v>64</v>
      </c>
      <c r="R451" s="208" t="s">
        <v>65</v>
      </c>
      <c r="S451" s="87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</row>
    <row r="452" spans="1:64" s="102" customFormat="1" ht="46.5" customHeight="1">
      <c r="A452" s="334" t="s">
        <v>964</v>
      </c>
      <c r="B452" s="335" t="s">
        <v>1261</v>
      </c>
      <c r="C452" s="388">
        <f>"https://www.sae.org/learn/content/c2015/"</f>
        <v>0</v>
      </c>
      <c r="D452" s="337" t="s">
        <v>966</v>
      </c>
      <c r="E452" s="338" t="s">
        <v>1262</v>
      </c>
      <c r="F452" s="337" t="s">
        <v>1263</v>
      </c>
      <c r="G452" s="339" t="s">
        <v>969</v>
      </c>
      <c r="H452" s="340">
        <f>"&lt;b&gt;Natesa&amp;nbsp;MacRae&lt;/b&gt;, Sr. Researcher, National Research Council of Canada&amp;nbsp;(NRC)."</f>
        <v>0</v>
      </c>
      <c r="I452" s="341"/>
      <c r="J452" s="345"/>
      <c r="K452" s="345"/>
      <c r="L452" s="353" t="s">
        <v>970</v>
      </c>
      <c r="M452" s="345" t="s">
        <v>971</v>
      </c>
      <c r="N452" s="346"/>
      <c r="O452" s="357" t="s">
        <v>171</v>
      </c>
      <c r="P452" s="336" t="s">
        <v>172</v>
      </c>
      <c r="Q452" s="358" t="s">
        <v>64</v>
      </c>
      <c r="R452" s="243" t="s">
        <v>65</v>
      </c>
      <c r="S452" s="87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</row>
    <row r="453" spans="1:64" s="102" customFormat="1" ht="30" customHeight="1">
      <c r="A453" s="334"/>
      <c r="B453" s="335"/>
      <c r="C453" s="388"/>
      <c r="D453" s="337"/>
      <c r="E453" s="337"/>
      <c r="F453" s="128" t="s">
        <v>968</v>
      </c>
      <c r="G453" s="339"/>
      <c r="H453" s="340">
        <f>"Erik&amp;nbsp;Spek&lt;/b&gt;, Chief Eng., T&amp;Uuml;V S&amp;Uuml;D Canada"</f>
        <v>0</v>
      </c>
      <c r="I453" s="341"/>
      <c r="J453" s="345"/>
      <c r="K453" s="345"/>
      <c r="L453" s="353"/>
      <c r="M453" s="345"/>
      <c r="N453" s="346"/>
      <c r="O453" s="357"/>
      <c r="P453" s="336"/>
      <c r="Q453" s="358"/>
      <c r="R453" s="243"/>
      <c r="S453" s="87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</row>
    <row r="454" spans="1:64" s="102" customFormat="1" ht="45.75" customHeight="1">
      <c r="A454" s="334"/>
      <c r="B454" s="335"/>
      <c r="C454" s="388"/>
      <c r="D454" s="337"/>
      <c r="E454" s="337"/>
      <c r="F454" s="128"/>
      <c r="G454" s="339"/>
      <c r="H454" s="340">
        <f>"Dr&amp;nbsp;&lt;b&gt;Dacong&amp;nbsp;Weng&lt;/b&gt;, Princ. R&amp;D Eng., Honeywell&amp;nbsp;Aerospace"</f>
        <v>0</v>
      </c>
      <c r="I454" s="341"/>
      <c r="J454" s="345"/>
      <c r="K454" s="345"/>
      <c r="L454" s="353"/>
      <c r="M454" s="345"/>
      <c r="N454" s="346"/>
      <c r="O454" s="357"/>
      <c r="P454" s="336"/>
      <c r="Q454" s="358"/>
      <c r="R454" s="243"/>
      <c r="S454" s="87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</row>
    <row r="455" spans="1:19" s="102" customFormat="1" ht="60.75" customHeight="1">
      <c r="A455" s="334" t="s">
        <v>1019</v>
      </c>
      <c r="B455" s="335" t="s">
        <v>1264</v>
      </c>
      <c r="C455" s="336">
        <f>"https://www.sae.org/learn/content/c1912/"</f>
        <v>0</v>
      </c>
      <c r="D455" s="337" t="s">
        <v>966</v>
      </c>
      <c r="E455" s="338" t="s">
        <v>1265</v>
      </c>
      <c r="F455" s="337" t="s">
        <v>1022</v>
      </c>
      <c r="G455" s="389" t="s">
        <v>504</v>
      </c>
      <c r="H455" s="390" t="s">
        <v>896</v>
      </c>
      <c r="I455" s="391"/>
      <c r="J455" s="392"/>
      <c r="K455" s="393"/>
      <c r="L455" s="344" t="s">
        <v>310</v>
      </c>
      <c r="M455" s="381" t="s">
        <v>311</v>
      </c>
      <c r="N455" s="383"/>
      <c r="O455" s="394" t="s">
        <v>171</v>
      </c>
      <c r="P455" s="361" t="s">
        <v>172</v>
      </c>
      <c r="Q455" s="376" t="s">
        <v>64</v>
      </c>
      <c r="R455" s="208" t="s">
        <v>65</v>
      </c>
      <c r="S455" s="140"/>
    </row>
    <row r="456" spans="1:64" s="102" customFormat="1" ht="100.5" customHeight="1">
      <c r="A456" s="377" t="s">
        <v>304</v>
      </c>
      <c r="B456" s="377" t="s">
        <v>1266</v>
      </c>
      <c r="C456" s="378">
        <f>"https://www.sae.org/learn/content/c1603/"</f>
        <v>0</v>
      </c>
      <c r="D456" s="378" t="s">
        <v>581</v>
      </c>
      <c r="E456" s="379" t="s">
        <v>1267</v>
      </c>
      <c r="F456" s="337" t="s">
        <v>307</v>
      </c>
      <c r="G456" s="380" t="s">
        <v>308</v>
      </c>
      <c r="H456" s="368" t="s">
        <v>309</v>
      </c>
      <c r="I456" s="352"/>
      <c r="J456" s="342"/>
      <c r="K456" s="343"/>
      <c r="L456" s="344" t="s">
        <v>310</v>
      </c>
      <c r="M456" s="381" t="s">
        <v>311</v>
      </c>
      <c r="N456" s="382"/>
      <c r="O456" s="357" t="s">
        <v>171</v>
      </c>
      <c r="P456" s="337" t="s">
        <v>172</v>
      </c>
      <c r="Q456" s="358" t="s">
        <v>64</v>
      </c>
      <c r="R456" s="208" t="s">
        <v>65</v>
      </c>
      <c r="S456" s="87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</row>
    <row r="457" spans="1:19" s="88" customFormat="1" ht="58.5" customHeight="1">
      <c r="A457" s="377" t="s">
        <v>580</v>
      </c>
      <c r="B457" s="377">
        <f>"acad06-22-6"</f>
        <v>0</v>
      </c>
      <c r="C457" s="378">
        <f>"https://www.sae.org/learn/content/acad06/"</f>
        <v>0</v>
      </c>
      <c r="D457" s="337" t="s">
        <v>581</v>
      </c>
      <c r="E457" s="379" t="s">
        <v>1268</v>
      </c>
      <c r="F457" s="337" t="s">
        <v>1186</v>
      </c>
      <c r="G457" s="380" t="s">
        <v>584</v>
      </c>
      <c r="H457" s="368" t="s">
        <v>1187</v>
      </c>
      <c r="I457" s="347" t="s">
        <v>1188</v>
      </c>
      <c r="J457" s="337"/>
      <c r="K457" s="348"/>
      <c r="L457" s="347" t="s">
        <v>1189</v>
      </c>
      <c r="M457" s="337" t="s">
        <v>587</v>
      </c>
      <c r="N457" s="395" t="s">
        <v>588</v>
      </c>
      <c r="O457" s="347" t="s">
        <v>171</v>
      </c>
      <c r="P457" s="337">
        <f>"https://www.sae.org/learn/professional-development"</f>
        <v>0</v>
      </c>
      <c r="Q457" s="348" t="s">
        <v>64</v>
      </c>
      <c r="R457" s="208" t="s">
        <v>65</v>
      </c>
      <c r="S457" s="87"/>
    </row>
    <row r="458" spans="1:19" s="88" customFormat="1" ht="7.5" customHeight="1">
      <c r="A458" s="377"/>
      <c r="B458" s="377"/>
      <c r="C458" s="378"/>
      <c r="D458" s="337"/>
      <c r="E458" s="379"/>
      <c r="F458" s="337"/>
      <c r="G458" s="380"/>
      <c r="H458" s="368"/>
      <c r="I458" s="347"/>
      <c r="J458" s="337"/>
      <c r="K458" s="348"/>
      <c r="L458" s="347"/>
      <c r="M458" s="337"/>
      <c r="N458" s="395"/>
      <c r="O458" s="347"/>
      <c r="P458" s="337"/>
      <c r="Q458" s="348"/>
      <c r="R458" s="208"/>
      <c r="S458" s="87"/>
    </row>
    <row r="459" spans="1:64" s="102" customFormat="1" ht="60" customHeight="1">
      <c r="A459" s="396" t="s">
        <v>1269</v>
      </c>
      <c r="B459" s="397" t="s">
        <v>1270</v>
      </c>
      <c r="C459" s="398">
        <f>"https://evs35oslo.org/"</f>
        <v>0</v>
      </c>
      <c r="D459" s="399" t="s">
        <v>1271</v>
      </c>
      <c r="E459" s="400" t="s">
        <v>1272</v>
      </c>
      <c r="F459" s="399" t="s">
        <v>1273</v>
      </c>
      <c r="G459" s="401">
        <f>"The electric future is here."</f>
        <v>0</v>
      </c>
      <c r="H459" s="402">
        <f>"registration:  https://my.evs35oslo.org/buy-ticket"</f>
        <v>0</v>
      </c>
      <c r="I459" s="403">
        <f>"Alternate Informational Link:  https://www.showsbee.com/fairs/Electric-Vehicle-Symposium.html"</f>
        <v>0</v>
      </c>
      <c r="J459" s="403"/>
      <c r="K459" s="404">
        <f>"Video &lt;i&gt;(4:02)&lt;/i&gt;:  https://www.youtube.com/watch?v=9kcsRxlNQl0"</f>
        <v>0</v>
      </c>
      <c r="L459" s="132">
        <f>"Abstracts:  http://www.evs34.org.cn/html/folder/20090496-1.htm"</f>
        <v>0</v>
      </c>
      <c r="M459" s="133">
        <f>"http://cespaper.evs34.org.cn/"</f>
        <v>0</v>
      </c>
      <c r="N459" s="134" t="s">
        <v>623</v>
      </c>
      <c r="O459" s="405" t="s">
        <v>146</v>
      </c>
      <c r="P459" s="399" t="s">
        <v>155</v>
      </c>
      <c r="Q459" s="406" t="s">
        <v>64</v>
      </c>
      <c r="R459" s="407" t="s">
        <v>65</v>
      </c>
      <c r="S459" s="87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</row>
    <row r="460" spans="1:19" s="88" customFormat="1" ht="8.25" customHeight="1">
      <c r="A460" s="377"/>
      <c r="B460" s="377"/>
      <c r="C460" s="378"/>
      <c r="D460" s="337"/>
      <c r="E460" s="379"/>
      <c r="F460" s="337"/>
      <c r="G460" s="380"/>
      <c r="H460" s="368"/>
      <c r="I460" s="347"/>
      <c r="J460" s="337"/>
      <c r="K460" s="348"/>
      <c r="L460" s="347"/>
      <c r="M460" s="337"/>
      <c r="N460" s="395"/>
      <c r="O460" s="347"/>
      <c r="P460" s="337"/>
      <c r="Q460" s="348"/>
      <c r="R460" s="208"/>
      <c r="S460" s="87"/>
    </row>
    <row r="461" spans="1:64" s="102" customFormat="1" ht="40.5" customHeight="1">
      <c r="A461" s="334">
        <f>"IEEE Transportation Electrification Conference and Expo (ITEC) 2022"</f>
        <v>0</v>
      </c>
      <c r="B461" s="335" t="s">
        <v>1274</v>
      </c>
      <c r="C461" s="336">
        <f>"https://itec-conf.com/"</f>
        <v>0</v>
      </c>
      <c r="D461" s="337" t="s">
        <v>1275</v>
      </c>
      <c r="E461" s="338" t="s">
        <v>1276</v>
      </c>
      <c r="F461" s="337" t="s">
        <v>607</v>
      </c>
      <c r="G461" s="339">
        <f>"From aerospace to boats, trains and HEV/EVs, every area of transportation is addressed and discussed."</f>
        <v>0</v>
      </c>
      <c r="H461" s="340">
        <f>"Virtual Portal:  https://whova.com/portal/webapp/iteci_202106/ (for last year??)"</f>
        <v>0</v>
      </c>
      <c r="I461" s="352"/>
      <c r="J461" s="408">
        <f>"Sign-Up for more info:  https://us11.list-manage.com/subscribe?u=a3b42f922c6c24781f677755e&amp;id=57d8e51eac"</f>
        <v>0</v>
      </c>
      <c r="K461" s="409">
        <f>"https://itec-conf.com/contact-us/"</f>
        <v>0</v>
      </c>
      <c r="L461" s="387">
        <f>"https://itec-conf.com/itec/wp-content/uploads/2021/09/Call-For-PapersV4.pdf"</f>
        <v>0</v>
      </c>
      <c r="M461" s="409">
        <f>"https://catalyst.omnipress.com/#event-home/itec2022"</f>
        <v>0</v>
      </c>
      <c r="N461" s="346">
        <f>"Digest due: 2021/12/17 (Extended from 12/01);  (Key Dates:  https://itec-conf.com/authors/key-dates/)"</f>
        <v>0</v>
      </c>
      <c r="O461" s="357" t="s">
        <v>610</v>
      </c>
      <c r="P461" s="337">
        <f>"https://tec.ieee.org/conferences-workshops"</f>
        <v>0</v>
      </c>
      <c r="Q461" s="358" t="s">
        <v>53</v>
      </c>
      <c r="R461" s="243" t="s">
        <v>65</v>
      </c>
      <c r="S461" s="87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</row>
    <row r="462" spans="1:64" s="102" customFormat="1" ht="42" customHeight="1">
      <c r="A462" s="334"/>
      <c r="B462" s="335"/>
      <c r="C462" s="336"/>
      <c r="D462" s="337"/>
      <c r="E462" s="338"/>
      <c r="F462" s="337"/>
      <c r="G462" s="339"/>
      <c r="H462" s="340"/>
      <c r="I462" s="352"/>
      <c r="J462" s="408"/>
      <c r="K462" s="409"/>
      <c r="L462" s="387">
        <f>"Call for Papers:  https://itec-conf.com/call-for-papers/"</f>
        <v>0</v>
      </c>
      <c r="M462" s="409"/>
      <c r="N462" s="346"/>
      <c r="O462" s="357"/>
      <c r="P462" s="337"/>
      <c r="Q462" s="358"/>
      <c r="R462" s="243"/>
      <c r="S462" s="87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</row>
    <row r="463" spans="1:64" s="102" customFormat="1" ht="42" customHeight="1">
      <c r="A463" s="334"/>
      <c r="B463" s="335"/>
      <c r="C463" s="336"/>
      <c r="D463" s="337"/>
      <c r="E463" s="338"/>
      <c r="F463" s="337"/>
      <c r="G463" s="339"/>
      <c r="H463" s="340">
        <f>"Conference:  https://itec-conf.com/conference/"</f>
        <v>0</v>
      </c>
      <c r="I463" s="352"/>
      <c r="J463" s="408"/>
      <c r="K463" s="409"/>
      <c r="L463" s="387">
        <f>"Instructions for Manuscript Digest:  https://itec-conf.com/authors/abstracts-digests/"</f>
        <v>0</v>
      </c>
      <c r="M463" s="409"/>
      <c r="N463" s="346"/>
      <c r="O463" s="357"/>
      <c r="P463" s="337"/>
      <c r="Q463" s="358"/>
      <c r="R463" s="243"/>
      <c r="S463" s="87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</row>
    <row r="464" spans="1:64" s="102" customFormat="1" ht="44.25" customHeight="1">
      <c r="A464" s="334"/>
      <c r="B464" s="335"/>
      <c r="C464" s="336"/>
      <c r="D464" s="337"/>
      <c r="E464" s="338"/>
      <c r="F464" s="337"/>
      <c r="G464" s="339"/>
      <c r="H464" s="340" t="s">
        <v>920</v>
      </c>
      <c r="I464" s="352"/>
      <c r="J464" s="408"/>
      <c r="K464" s="409"/>
      <c r="L464" s="352">
        <f>"Author-Information Sign&amp;#8209;In Page"</f>
        <v>0</v>
      </c>
      <c r="M464" s="345">
        <f>"https://epapers.org/itec2022/ESR/login.php"</f>
        <v>0</v>
      </c>
      <c r="N464" s="345" t="s">
        <v>1277</v>
      </c>
      <c r="O464" s="357"/>
      <c r="P464" s="337"/>
      <c r="Q464" s="358"/>
      <c r="R464" s="243"/>
      <c r="S464" s="87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</row>
    <row r="465" spans="1:64" s="102" customFormat="1" ht="32.25" customHeight="1">
      <c r="A465" s="334" t="s">
        <v>1278</v>
      </c>
      <c r="B465" s="335" t="s">
        <v>1279</v>
      </c>
      <c r="C465" s="336">
        <f>"https://itec-conf.com/student-competition/"</f>
        <v>0</v>
      </c>
      <c r="D465" s="337" t="s">
        <v>1275</v>
      </c>
      <c r="E465" s="338">
        <f>"prize ceremony:  2022/06/17 (tentative)"</f>
        <v>0</v>
      </c>
      <c r="F465" s="337" t="s">
        <v>1280</v>
      </c>
      <c r="G465" s="339">
        <f>"The main goal is to design a high-voltage/high-power distribution propulsion system for a 4 E-motor full-electric aircraft."</f>
        <v>0</v>
      </c>
      <c r="H465" s="340" t="s">
        <v>925</v>
      </c>
      <c r="I465" s="352">
        <f>"Marilena Pavel - LR"</f>
        <v>0</v>
      </c>
      <c r="J465" s="342"/>
      <c r="K465" s="343">
        <f>"M.D.Pavel@tudelft.nl"</f>
        <v>0</v>
      </c>
      <c r="L465" s="352">
        <f>"Introduction:  https://itec-conf.com/itec/wp-content/uploads/2021/11/Competition-Flyer-1.pdf"</f>
        <v>0</v>
      </c>
      <c r="M465" s="345">
        <f>"Letters of Intent (LoI) and Requests for Information (RFI)/Clarification due no later than 2022/02/28"</f>
        <v>0</v>
      </c>
      <c r="N465" s="345" t="s">
        <v>1281</v>
      </c>
      <c r="O465" s="357" t="s">
        <v>610</v>
      </c>
      <c r="P465" s="337">
        <f>"https://tec.ieee.org/conferences-workshops"</f>
        <v>0</v>
      </c>
      <c r="Q465" s="358" t="s">
        <v>53</v>
      </c>
      <c r="R465" s="243" t="s">
        <v>65</v>
      </c>
      <c r="S465" s="87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</row>
    <row r="466" spans="1:64" s="102" customFormat="1" ht="63" customHeight="1">
      <c r="A466" s="334"/>
      <c r="B466" s="335"/>
      <c r="C466" s="336">
        <f>"Alt. Link:  https://tec.ieee.org/what-s-new/call-for-proposals-2022-aiaa-ieee-eats-student-design-challenge"</f>
        <v>0</v>
      </c>
      <c r="D466" s="337"/>
      <c r="E466" s="338"/>
      <c r="F466" s="337"/>
      <c r="G466" s="339"/>
      <c r="H466" s="340"/>
      <c r="I466" s="352"/>
      <c r="J466" s="342"/>
      <c r="K466" s="343">
        <f>"Sign up for updates:   https://itec-conf.us5.list-manage.com/subscribe?u=30cd13c2cdc76431893846a5c&amp;id=89951133fa"</f>
        <v>0</v>
      </c>
      <c r="L466" s="352"/>
      <c r="M466" s="345"/>
      <c r="N466" s="345"/>
      <c r="O466" s="357"/>
      <c r="P466" s="337"/>
      <c r="Q466" s="358"/>
      <c r="R466" s="243"/>
      <c r="S466" s="87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</row>
    <row r="467" spans="1:64" s="102" customFormat="1" ht="38.25" customHeight="1">
      <c r="A467" s="334">
        <f>"VTC2022-Spring &amp;ndash; 2022 IEEE &lt;sup&gt;95th&lt;/sup&gt; Vehicular Technology Conference"</f>
        <v>0</v>
      </c>
      <c r="B467" s="337" t="s">
        <v>1282</v>
      </c>
      <c r="C467" s="336">
        <f>"https://events.vtsociety.org/vtc2022-spring/"</f>
        <v>0</v>
      </c>
      <c r="D467" s="337" t="s">
        <v>1283</v>
      </c>
      <c r="E467" s="338" t="s">
        <v>1284</v>
      </c>
      <c r="F467" s="337" t="s">
        <v>444</v>
      </c>
      <c r="G467" s="339" t="s">
        <v>1285</v>
      </c>
      <c r="H467" s="374"/>
      <c r="I467" s="347"/>
      <c r="J467" s="342"/>
      <c r="K467" s="343">
        <f>"https://events.vtsociety.org/vtc2022-spring/contact-us/"</f>
        <v>0</v>
      </c>
      <c r="L467" s="353">
        <f>"https://events.vtsociety.org/vtc2022-spring/authors/call-for-papers-2/"</f>
        <v>0</v>
      </c>
      <c r="M467" s="345">
        <f>"https://vtc2022spring.trackchair.com/"</f>
        <v>0</v>
      </c>
      <c r="N467" s="346" t="s">
        <v>1286</v>
      </c>
      <c r="O467" s="347" t="s">
        <v>1287</v>
      </c>
      <c r="P467" s="337" t="s">
        <v>1288</v>
      </c>
      <c r="Q467" s="348" t="s">
        <v>64</v>
      </c>
      <c r="R467" s="208" t="s">
        <v>65</v>
      </c>
      <c r="S467" s="87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</row>
    <row r="468" spans="1:64" s="102" customFormat="1" ht="65.25" customHeight="1">
      <c r="A468" s="334"/>
      <c r="B468" s="337"/>
      <c r="C468" s="336"/>
      <c r="D468" s="337"/>
      <c r="E468" s="338"/>
      <c r="F468" s="337"/>
      <c r="G468" s="339"/>
      <c r="H468" s="374"/>
      <c r="I468" s="347"/>
      <c r="J468" s="342"/>
      <c r="K468" s="343"/>
      <c r="L468" s="353" t="s">
        <v>1289</v>
      </c>
      <c r="M468" s="345">
        <f>"Submission Page:  https://events.vtsociety.org/vtc2022-spring/conference-sessions/workshop-proposal-form/"</f>
        <v>0</v>
      </c>
      <c r="N468" s="346" t="s">
        <v>1286</v>
      </c>
      <c r="O468" s="347"/>
      <c r="P468" s="337"/>
      <c r="Q468" s="348"/>
      <c r="R468" s="208"/>
      <c r="S468" s="87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</row>
    <row r="469" spans="1:64" s="102" customFormat="1" ht="53.25" customHeight="1">
      <c r="A469" s="334"/>
      <c r="B469" s="337"/>
      <c r="C469" s="336"/>
      <c r="D469" s="337"/>
      <c r="E469" s="337"/>
      <c r="F469" s="337"/>
      <c r="G469" s="339"/>
      <c r="H469" s="374"/>
      <c r="I469" s="347"/>
      <c r="J469" s="342"/>
      <c r="K469" s="343"/>
      <c r="L469" s="410">
        <f>"Workshop Papers:  (5 pages, + up to 2 pages with extra fee)"</f>
        <v>0</v>
      </c>
      <c r="M469" s="411">
        <f>"Templates:  https://www.ieee.org/conferences/publishing/templates.html"</f>
        <v>0</v>
      </c>
      <c r="N469" s="412" t="s">
        <v>1290</v>
      </c>
      <c r="O469" s="347"/>
      <c r="P469" s="337"/>
      <c r="Q469" s="348"/>
      <c r="R469" s="208"/>
      <c r="S469" s="87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</row>
    <row r="470" spans="1:64" s="102" customFormat="1" ht="84" customHeight="1">
      <c r="A470" s="334"/>
      <c r="B470" s="337"/>
      <c r="C470" s="336"/>
      <c r="D470" s="337"/>
      <c r="E470" s="337"/>
      <c r="F470" s="337"/>
      <c r="G470" s="339"/>
      <c r="H470" s="374"/>
      <c r="I470" s="347"/>
      <c r="J470" s="342"/>
      <c r="K470" s="343"/>
      <c r="L470" s="353" t="s">
        <v>1291</v>
      </c>
      <c r="M470" s="345">
        <f>"Submission Page:  https://events.vtsociety.org/vtc2022-spring/conference-sessions/call-for-tutorials/tutorial-proposal-submission-form/"</f>
        <v>0</v>
      </c>
      <c r="N470" s="346">
        <f>"2022/01/20   See e-mail from Mon 2021-11-08 08:59"</f>
        <v>0</v>
      </c>
      <c r="O470" s="347"/>
      <c r="P470" s="337"/>
      <c r="Q470" s="348"/>
      <c r="R470" s="208"/>
      <c r="S470" s="87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</row>
    <row r="471" spans="1:64" s="102" customFormat="1" ht="29.25" customHeight="1">
      <c r="A471" s="334" t="s">
        <v>574</v>
      </c>
      <c r="B471" s="337" t="s">
        <v>575</v>
      </c>
      <c r="C471" s="337">
        <f>"https://www.roadmapforth.org/"</f>
        <v>0</v>
      </c>
      <c r="D471" s="337" t="s">
        <v>1292</v>
      </c>
      <c r="E471" s="338" t="s">
        <v>1293</v>
      </c>
      <c r="F471" s="337" t="s">
        <v>1294</v>
      </c>
      <c r="G471" s="339">
        <f>"&amp;hellip; where leaders convene to transform how people and goods move."</f>
        <v>0</v>
      </c>
      <c r="H471" s="340">
        <f>"registration:  https://www.roadmapforth.org/rm22/begin"</f>
        <v>0</v>
      </c>
      <c r="I471" s="341"/>
      <c r="J471" s="342"/>
      <c r="K471" s="413"/>
      <c r="L471" s="414">
        <f>"Call for Proposals:  https://assets.swoogo.com/uploads/1395745-615e2c8d4e9dc.pdf"</f>
        <v>0</v>
      </c>
      <c r="M471" s="415">
        <f>"https://sessionize.com/roadmap-conference/"</f>
        <v>0</v>
      </c>
      <c r="N471" s="415">
        <f>"2021/11/22 (extended from 11/12)"</f>
        <v>0</v>
      </c>
      <c r="O471" s="357" t="s">
        <v>579</v>
      </c>
      <c r="P471" s="416" t="s">
        <v>233</v>
      </c>
      <c r="Q471" s="358" t="s">
        <v>64</v>
      </c>
      <c r="R471" s="243" t="s">
        <v>65</v>
      </c>
      <c r="S471" s="87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</row>
    <row r="472" spans="1:64" s="102" customFormat="1" ht="63" customHeight="1">
      <c r="A472" s="334"/>
      <c r="B472" s="337"/>
      <c r="C472" s="127">
        <f>"e-mailed announcement:  https://mailchi.mp/3b5cc01d430d/conference_tracks_hotel_rates-897936?e=f2f3c6f069"</f>
        <v>0</v>
      </c>
      <c r="D472" s="337"/>
      <c r="E472" s="337"/>
      <c r="F472" s="337"/>
      <c r="G472" s="339"/>
      <c r="H472" s="340"/>
      <c r="I472" s="341"/>
      <c r="J472" s="342"/>
      <c r="K472" s="413"/>
      <c r="L472" s="414"/>
      <c r="M472" s="415"/>
      <c r="N472" s="415"/>
      <c r="O472" s="357"/>
      <c r="P472" s="416"/>
      <c r="Q472" s="358"/>
      <c r="R472" s="243"/>
      <c r="S472" s="87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</row>
    <row r="473" spans="1:64" s="102" customFormat="1" ht="52.5" customHeight="1">
      <c r="A473" s="334" t="s">
        <v>370</v>
      </c>
      <c r="B473" s="335" t="s">
        <v>1295</v>
      </c>
      <c r="C473" s="336">
        <f>"https://www.sae.org/learn/content/c2001/"</f>
        <v>0</v>
      </c>
      <c r="D473" s="337" t="s">
        <v>966</v>
      </c>
      <c r="E473" s="338" t="s">
        <v>1296</v>
      </c>
      <c r="F473" s="337" t="s">
        <v>374</v>
      </c>
      <c r="G473" s="339" t="s">
        <v>375</v>
      </c>
      <c r="H473" s="340" t="s">
        <v>376</v>
      </c>
      <c r="I473" s="352"/>
      <c r="J473" s="359"/>
      <c r="K473" s="343"/>
      <c r="L473" s="353" t="s">
        <v>169</v>
      </c>
      <c r="M473" s="381" t="s">
        <v>170</v>
      </c>
      <c r="N473" s="383">
        <f>"Instructor: Yves Racette"</f>
        <v>0</v>
      </c>
      <c r="O473" s="347" t="s">
        <v>171</v>
      </c>
      <c r="P473" s="337">
        <f>"https://www.sae.org/learn/professional-development"</f>
        <v>0</v>
      </c>
      <c r="Q473" s="348" t="s">
        <v>64</v>
      </c>
      <c r="R473" s="208" t="s">
        <v>65</v>
      </c>
      <c r="S473" s="87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</row>
    <row r="474" spans="1:64" s="102" customFormat="1" ht="61.5" customHeight="1">
      <c r="A474" s="334" t="s">
        <v>163</v>
      </c>
      <c r="B474" s="335" t="s">
        <v>1297</v>
      </c>
      <c r="C474" s="336">
        <f>"https://www.sae.org/learn/content/c1869"</f>
        <v>0</v>
      </c>
      <c r="D474" s="337" t="s">
        <v>1298</v>
      </c>
      <c r="E474" s="338" t="s">
        <v>1299</v>
      </c>
      <c r="F474" s="337" t="s">
        <v>167</v>
      </c>
      <c r="G474" s="339" t="s">
        <v>168</v>
      </c>
      <c r="H474" s="340">
        <f>"Instructor: Alan Moore"</f>
        <v>0</v>
      </c>
      <c r="I474" s="352"/>
      <c r="J474" s="359"/>
      <c r="K474" s="343"/>
      <c r="L474" s="347" t="s">
        <v>169</v>
      </c>
      <c r="M474" s="361" t="s">
        <v>170</v>
      </c>
      <c r="N474" s="376"/>
      <c r="O474" s="347" t="s">
        <v>171</v>
      </c>
      <c r="P474" s="337" t="s">
        <v>172</v>
      </c>
      <c r="Q474" s="348" t="s">
        <v>64</v>
      </c>
      <c r="R474" s="208" t="s">
        <v>65</v>
      </c>
      <c r="S474" s="87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</row>
    <row r="475" spans="1:64" s="102" customFormat="1" ht="46.5" customHeight="1">
      <c r="A475" s="334">
        <f>"SAE CEU Course:&amp;nbsp; Electrochemical Energy Systems for Electrified Aircraft Propulsion: Batteries and Fuel Cell Systems Joint AIAA / SAE course)"</f>
        <v>0</v>
      </c>
      <c r="B475" s="335" t="s">
        <v>1300</v>
      </c>
      <c r="C475" s="388">
        <f>"https://www.sae.org/learn/content/c2015/"</f>
        <v>0</v>
      </c>
      <c r="D475" s="337" t="s">
        <v>966</v>
      </c>
      <c r="E475" s="338" t="s">
        <v>1301</v>
      </c>
      <c r="F475" s="337" t="s">
        <v>968</v>
      </c>
      <c r="G475" s="339" t="s">
        <v>969</v>
      </c>
      <c r="H475" s="340">
        <f>"&lt;b&gt;Natesa&amp;nbsp;MacRae&lt;/b&gt;, Sr. Researcher, National Research Council of Canada&amp;nbsp;(NRC)."</f>
        <v>0</v>
      </c>
      <c r="I475" s="341"/>
      <c r="J475" s="345"/>
      <c r="K475" s="345"/>
      <c r="L475" s="353" t="s">
        <v>970</v>
      </c>
      <c r="M475" s="345" t="s">
        <v>971</v>
      </c>
      <c r="N475" s="346"/>
      <c r="O475" s="357" t="s">
        <v>171</v>
      </c>
      <c r="P475" s="336" t="s">
        <v>172</v>
      </c>
      <c r="Q475" s="358" t="s">
        <v>64</v>
      </c>
      <c r="R475" s="243" t="s">
        <v>65</v>
      </c>
      <c r="S475" s="87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</row>
    <row r="476" spans="1:64" s="102" customFormat="1" ht="30" customHeight="1">
      <c r="A476" s="334"/>
      <c r="B476" s="335"/>
      <c r="C476" s="388"/>
      <c r="D476" s="337"/>
      <c r="E476" s="337"/>
      <c r="F476" s="337"/>
      <c r="G476" s="339"/>
      <c r="H476" s="340">
        <f>"Erik&amp;nbsp;Spek&lt;/b&gt;, Chief Eng., T&amp;Uuml;V S&amp;Uuml;D Canada"</f>
        <v>0</v>
      </c>
      <c r="I476" s="341"/>
      <c r="J476" s="345"/>
      <c r="K476" s="345"/>
      <c r="L476" s="353"/>
      <c r="M476" s="345"/>
      <c r="N476" s="346"/>
      <c r="O476" s="357"/>
      <c r="P476" s="336"/>
      <c r="Q476" s="358"/>
      <c r="R476" s="243"/>
      <c r="S476" s="87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</row>
    <row r="477" spans="1:64" s="102" customFormat="1" ht="45.75" customHeight="1">
      <c r="A477" s="334"/>
      <c r="B477" s="335"/>
      <c r="C477" s="388"/>
      <c r="D477" s="337"/>
      <c r="E477" s="337"/>
      <c r="F477" s="337"/>
      <c r="G477" s="339"/>
      <c r="H477" s="340">
        <f>"Dr&amp;nbsp;&lt;b&gt;Dacong&amp;nbsp;Weng&lt;/b&gt;, Princ. R&amp;D Eng., Honeywell&amp;nbsp;Aerospace"</f>
        <v>0</v>
      </c>
      <c r="I477" s="341"/>
      <c r="J477" s="345"/>
      <c r="K477" s="345"/>
      <c r="L477" s="353"/>
      <c r="M477" s="345"/>
      <c r="N477" s="346"/>
      <c r="O477" s="357"/>
      <c r="P477" s="336"/>
      <c r="Q477" s="358"/>
      <c r="R477" s="243"/>
      <c r="S477" s="87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</row>
    <row r="478" spans="1:64" s="102" customFormat="1" ht="78" customHeight="1">
      <c r="A478" s="315" t="s">
        <v>642</v>
      </c>
      <c r="B478" s="417" t="s">
        <v>1302</v>
      </c>
      <c r="C478" s="316">
        <f>"https://www.sae.org/learn/content/c1911/"</f>
        <v>0</v>
      </c>
      <c r="D478" s="154" t="s">
        <v>501</v>
      </c>
      <c r="E478" s="299" t="s">
        <v>1303</v>
      </c>
      <c r="F478" s="154" t="s">
        <v>645</v>
      </c>
      <c r="G478" s="272">
        <f>"Cybersecurity has become one of the most critical issues in developing autonomous and connected vehicles &amp;hellip;"</f>
        <v>0</v>
      </c>
      <c r="H478" s="245" t="s">
        <v>646</v>
      </c>
      <c r="I478" s="120"/>
      <c r="J478" s="121"/>
      <c r="K478" s="122"/>
      <c r="L478" s="269" t="s">
        <v>1304</v>
      </c>
      <c r="M478" s="235" t="s">
        <v>170</v>
      </c>
      <c r="N478" s="252"/>
      <c r="O478" s="153" t="s">
        <v>171</v>
      </c>
      <c r="P478" s="154" t="s">
        <v>172</v>
      </c>
      <c r="Q478" s="318" t="s">
        <v>64</v>
      </c>
      <c r="R478" s="319" t="s">
        <v>65</v>
      </c>
      <c r="S478" s="87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</row>
    <row r="479" spans="1:64" s="102" customFormat="1" ht="119.25" customHeight="1">
      <c r="A479" s="334">
        <f>"SAE CEU Course:  Robotics for Autonomous Vehicle Systems Bootcamp"</f>
        <v>0</v>
      </c>
      <c r="B479" s="335" t="s">
        <v>1305</v>
      </c>
      <c r="C479" s="336">
        <f>"https://www.sae.org/learn/content/c2012/"</f>
        <v>0</v>
      </c>
      <c r="D479" s="337" t="s">
        <v>48</v>
      </c>
      <c r="E479" s="338" t="s">
        <v>1306</v>
      </c>
      <c r="F479" s="337" t="s">
        <v>482</v>
      </c>
      <c r="G479" s="339">
        <f>"You&amp;rsquo;ll develop a deep, technical understanding of how to build autonomous systems by learning to program a mobile robot through hands-on approaches using ROS, Gazebo, and Python."</f>
        <v>0</v>
      </c>
      <c r="H479" s="340" t="s">
        <v>483</v>
      </c>
      <c r="I479" s="341"/>
      <c r="J479" s="342"/>
      <c r="K479" s="343"/>
      <c r="L479" s="344" t="s">
        <v>484</v>
      </c>
      <c r="M479" s="345" t="s">
        <v>485</v>
      </c>
      <c r="N479" s="346"/>
      <c r="O479" s="347" t="s">
        <v>171</v>
      </c>
      <c r="P479" s="337" t="s">
        <v>172</v>
      </c>
      <c r="Q479" s="348" t="s">
        <v>64</v>
      </c>
      <c r="R479" s="208" t="s">
        <v>65</v>
      </c>
      <c r="S479" s="87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</row>
    <row r="480" spans="1:64" ht="36" customHeight="1">
      <c r="A480" s="334" t="s">
        <v>1307</v>
      </c>
      <c r="B480" s="337" t="s">
        <v>1308</v>
      </c>
      <c r="C480" s="337">
        <f>"https://itsinceeurope.com/"</f>
        <v>0</v>
      </c>
      <c r="D480" s="337" t="s">
        <v>1309</v>
      </c>
      <c r="E480" s="338" t="s">
        <v>1310</v>
      </c>
      <c r="F480" s="337" t="s">
        <v>1311</v>
      </c>
      <c r="G480" s="339" t="s">
        <v>1312</v>
      </c>
      <c r="H480" s="390"/>
      <c r="I480" s="341"/>
      <c r="J480" s="342"/>
      <c r="K480" s="413">
        <f>"Why Attend:  https://itsinceeurope.com/what-to-expect/"</f>
        <v>0</v>
      </c>
      <c r="L480" s="120">
        <f>"https://erticonetwork.com/its-european-congress-2020-call-for-contributions-now-open/"</f>
        <v>0</v>
      </c>
      <c r="M480" s="121">
        <f>"Portal:  https://programme.itsineurope2020.com/login"</f>
        <v>0</v>
      </c>
      <c r="N480" s="121" t="s">
        <v>1313</v>
      </c>
      <c r="O480" s="357" t="s">
        <v>596</v>
      </c>
      <c r="P480" s="337">
        <f>"https://itsineurope.com/"</f>
        <v>0</v>
      </c>
      <c r="Q480" s="358" t="s">
        <v>64</v>
      </c>
      <c r="R480" s="243" t="s">
        <v>65</v>
      </c>
      <c r="S480" s="87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</row>
    <row r="481" spans="1:64" ht="15.75" customHeight="1">
      <c r="A481" s="334"/>
      <c r="B481" s="337"/>
      <c r="C481" s="337"/>
      <c r="D481" s="337"/>
      <c r="E481" s="337"/>
      <c r="F481" s="337"/>
      <c r="G481" s="339"/>
      <c r="H481" s="390"/>
      <c r="I481" s="341"/>
      <c r="J481" s="342"/>
      <c r="K481" s="413"/>
      <c r="L481" s="120">
        <f>"https://itseuropeancongress.com/submissions/"</f>
        <v>0</v>
      </c>
      <c r="M481" s="121" t="s">
        <v>1314</v>
      </c>
      <c r="N481" s="121"/>
      <c r="O481" s="357"/>
      <c r="P481" s="337"/>
      <c r="Q481" s="358"/>
      <c r="R481" s="243"/>
      <c r="S481" s="87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</row>
    <row r="482" spans="1:64" ht="50.25" customHeight="1">
      <c r="A482" s="334"/>
      <c r="B482" s="337"/>
      <c r="C482" s="337"/>
      <c r="D482" s="337"/>
      <c r="E482" s="337"/>
      <c r="F482" s="337"/>
      <c r="G482" s="339"/>
      <c r="H482" s="390"/>
      <c r="I482" s="341"/>
      <c r="J482" s="342"/>
      <c r="K482" s="413"/>
      <c r="L482" s="120">
        <f>"Brochure:  https://itseuropeancongress.com/wp-content/uploads/2019/09/Call-for-Contributions_final.pdf"</f>
        <v>0</v>
      </c>
      <c r="M482" s="121"/>
      <c r="N482" s="121"/>
      <c r="O482" s="357"/>
      <c r="P482" s="337"/>
      <c r="Q482" s="358"/>
      <c r="R482" s="243"/>
      <c r="S482" s="87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</row>
    <row r="483" spans="1:64" ht="48.75" customHeight="1">
      <c r="A483" s="334" t="s">
        <v>1315</v>
      </c>
      <c r="B483" s="337" t="s">
        <v>460</v>
      </c>
      <c r="C483" s="336">
        <f>"http://www.innotrans.de/en/"</f>
        <v>0</v>
      </c>
      <c r="D483" s="337" t="s">
        <v>461</v>
      </c>
      <c r="E483" s="93">
        <f>"2022/09/20 - 23 (postponed from 2021/04/27-30 and 2020/09/22–25)"</f>
        <v>0</v>
      </c>
      <c r="F483" s="337" t="s">
        <v>462</v>
      </c>
      <c r="G483" s="272" t="s">
        <v>463</v>
      </c>
      <c r="H483" s="340"/>
      <c r="I483" s="341"/>
      <c r="J483" s="342"/>
      <c r="K483" s="360">
        <f>"https://www.innotrans.de/en/Extrapages/Contact/"</f>
        <v>0</v>
      </c>
      <c r="L483" s="314">
        <f>"Virtual Market:  https://www.virtualmarket.innotrans.de/en"</f>
        <v>0</v>
      </c>
      <c r="M483" s="259"/>
      <c r="N483" s="236"/>
      <c r="O483" s="347" t="s">
        <v>465</v>
      </c>
      <c r="P483" s="173">
        <f>"http://www.maglevboard.net/en/"</f>
        <v>0</v>
      </c>
      <c r="Q483" s="348" t="s">
        <v>53</v>
      </c>
      <c r="R483" s="208" t="s">
        <v>65</v>
      </c>
      <c r="S483" s="87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</row>
    <row r="484" spans="1:64" ht="57" customHeight="1">
      <c r="A484" s="334"/>
      <c r="B484" s="337"/>
      <c r="C484" s="337"/>
      <c r="D484" s="337"/>
      <c r="E484" s="337"/>
      <c r="F484" s="337"/>
      <c r="G484" s="272"/>
      <c r="H484" s="340"/>
      <c r="I484" s="341"/>
      <c r="J484" s="342"/>
      <c r="K484" s="360"/>
      <c r="L484" s="314"/>
      <c r="M484" s="259"/>
      <c r="N484" s="259"/>
      <c r="O484" s="347"/>
      <c r="P484" s="337">
        <f>"http://www.maglevboard.net/en/the-conferences"</f>
        <v>0</v>
      </c>
      <c r="Q484" s="348"/>
      <c r="R484" s="208"/>
      <c r="S484" s="87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</row>
    <row r="485" spans="1:64" ht="71.25" customHeight="1">
      <c r="A485" s="334" t="s">
        <v>1316</v>
      </c>
      <c r="B485" s="337" t="s">
        <v>1317</v>
      </c>
      <c r="C485" s="336" t="s">
        <v>1318</v>
      </c>
      <c r="D485" s="337" t="s">
        <v>1319</v>
      </c>
      <c r="E485" s="338" t="s">
        <v>1320</v>
      </c>
      <c r="F485" s="337" t="s">
        <v>1321</v>
      </c>
      <c r="G485" s="339" t="s">
        <v>1322</v>
      </c>
      <c r="H485" s="374"/>
      <c r="I485" s="347"/>
      <c r="J485" s="342"/>
      <c r="K485" s="343">
        <f>"mailto:intertraffic@rai.nl"</f>
        <v>0</v>
      </c>
      <c r="L485" s="353">
        <f>"Exhibitor's info: https://www.intertraffic.com/istanbul/exhibiting/"</f>
        <v>0</v>
      </c>
      <c r="M485" s="345"/>
      <c r="N485" s="346"/>
      <c r="O485" s="347" t="s">
        <v>288</v>
      </c>
      <c r="P485" s="337" t="s">
        <v>289</v>
      </c>
      <c r="Q485" s="348" t="s">
        <v>64</v>
      </c>
      <c r="R485" s="208" t="s">
        <v>65</v>
      </c>
      <c r="S485" s="87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</row>
    <row r="486" spans="1:64" s="102" customFormat="1" ht="54" customHeight="1">
      <c r="A486" s="337" t="s">
        <v>1066</v>
      </c>
      <c r="B486" s="337" t="s">
        <v>1323</v>
      </c>
      <c r="C486" s="337">
        <f>"https://www.sae.org/learn/content/c1704/"</f>
        <v>0</v>
      </c>
      <c r="D486" s="337" t="s">
        <v>1324</v>
      </c>
      <c r="E486" s="338" t="s">
        <v>1325</v>
      </c>
      <c r="F486" s="337" t="s">
        <v>1070</v>
      </c>
      <c r="G486" s="418" t="s">
        <v>1071</v>
      </c>
      <c r="H486" s="381" t="s">
        <v>1072</v>
      </c>
      <c r="I486" s="341"/>
      <c r="J486" s="342"/>
      <c r="K486" s="419"/>
      <c r="L486" s="353" t="s">
        <v>169</v>
      </c>
      <c r="M486" s="345" t="s">
        <v>170</v>
      </c>
      <c r="N486" s="420"/>
      <c r="O486" s="357" t="s">
        <v>171</v>
      </c>
      <c r="P486" s="337" t="s">
        <v>172</v>
      </c>
      <c r="Q486" s="421" t="s">
        <v>64</v>
      </c>
      <c r="R486" s="208" t="s">
        <v>65</v>
      </c>
      <c r="S486" s="87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</row>
    <row r="487" spans="1:64" s="102" customFormat="1" ht="100.5" customHeight="1">
      <c r="A487" s="377" t="s">
        <v>304</v>
      </c>
      <c r="B487" s="377" t="s">
        <v>1326</v>
      </c>
      <c r="C487" s="378">
        <f>"https://www.sae.org/learn/content/c1603/"</f>
        <v>0</v>
      </c>
      <c r="D487" s="378" t="s">
        <v>581</v>
      </c>
      <c r="E487" s="379" t="s">
        <v>1327</v>
      </c>
      <c r="F487" s="337" t="s">
        <v>307</v>
      </c>
      <c r="G487" s="380" t="s">
        <v>308</v>
      </c>
      <c r="H487" s="368" t="s">
        <v>309</v>
      </c>
      <c r="I487" s="352"/>
      <c r="J487" s="342"/>
      <c r="K487" s="343"/>
      <c r="L487" s="344" t="s">
        <v>310</v>
      </c>
      <c r="M487" s="381" t="s">
        <v>311</v>
      </c>
      <c r="N487" s="382"/>
      <c r="O487" s="357" t="s">
        <v>171</v>
      </c>
      <c r="P487" s="337" t="s">
        <v>172</v>
      </c>
      <c r="Q487" s="358" t="s">
        <v>64</v>
      </c>
      <c r="R487" s="208" t="s">
        <v>65</v>
      </c>
      <c r="S487" s="87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</row>
    <row r="488" spans="1:64" s="102" customFormat="1" ht="63.75" customHeight="1">
      <c r="A488" s="334" t="s">
        <v>1101</v>
      </c>
      <c r="B488" s="335" t="s">
        <v>1328</v>
      </c>
      <c r="C488" s="336">
        <f>"https://www.sae.org/learn/content/c0828/"</f>
        <v>0</v>
      </c>
      <c r="D488" s="337" t="s">
        <v>966</v>
      </c>
      <c r="E488" s="338" t="s">
        <v>1329</v>
      </c>
      <c r="F488" s="337" t="s">
        <v>1104</v>
      </c>
      <c r="G488" s="339" t="s">
        <v>1105</v>
      </c>
      <c r="H488" s="340">
        <f>"Instructor: James Masiak"</f>
        <v>0</v>
      </c>
      <c r="I488" s="352"/>
      <c r="J488" s="359"/>
      <c r="K488" s="343"/>
      <c r="L488" s="347" t="s">
        <v>1106</v>
      </c>
      <c r="M488" s="361" t="s">
        <v>329</v>
      </c>
      <c r="N488" s="376"/>
      <c r="O488" s="347" t="s">
        <v>171</v>
      </c>
      <c r="P488" s="337" t="s">
        <v>172</v>
      </c>
      <c r="Q488" s="348" t="s">
        <v>64</v>
      </c>
      <c r="R488" s="208" t="s">
        <v>65</v>
      </c>
      <c r="S488" s="87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</row>
    <row r="489" spans="1:19" s="88" customFormat="1" ht="58.5" customHeight="1">
      <c r="A489" s="377" t="s">
        <v>580</v>
      </c>
      <c r="B489" s="377">
        <f>"acad06-22-11"</f>
        <v>0</v>
      </c>
      <c r="C489" s="378">
        <f>"https://www.sae.org/learn/content/acad06/"</f>
        <v>0</v>
      </c>
      <c r="D489" s="337" t="s">
        <v>581</v>
      </c>
      <c r="E489" s="379" t="s">
        <v>1330</v>
      </c>
      <c r="F489" s="337" t="s">
        <v>1186</v>
      </c>
      <c r="G489" s="380" t="s">
        <v>584</v>
      </c>
      <c r="H489" s="368" t="s">
        <v>1187</v>
      </c>
      <c r="I489" s="347" t="s">
        <v>1188</v>
      </c>
      <c r="J489" s="337"/>
      <c r="K489" s="348"/>
      <c r="L489" s="347" t="s">
        <v>1189</v>
      </c>
      <c r="M489" s="337" t="s">
        <v>587</v>
      </c>
      <c r="N489" s="395" t="s">
        <v>588</v>
      </c>
      <c r="O489" s="347" t="s">
        <v>171</v>
      </c>
      <c r="P489" s="337">
        <f>"https://www.sae.org/learn/professional-development"</f>
        <v>0</v>
      </c>
      <c r="Q489" s="348" t="s">
        <v>64</v>
      </c>
      <c r="R489" s="208" t="s">
        <v>65</v>
      </c>
      <c r="S489" s="87"/>
    </row>
    <row r="490" spans="1:64" ht="36" customHeight="1">
      <c r="A490" s="334" t="s">
        <v>1331</v>
      </c>
      <c r="B490" s="337" t="s">
        <v>1332</v>
      </c>
      <c r="C490" s="337">
        <f>"https://itseuropeancongress.com/"</f>
        <v>0</v>
      </c>
      <c r="D490" s="337" t="s">
        <v>1333</v>
      </c>
      <c r="E490" s="338" t="s">
        <v>1334</v>
      </c>
      <c r="F490" s="337" t="s">
        <v>1335</v>
      </c>
      <c r="G490" s="339" t="s">
        <v>1336</v>
      </c>
      <c r="H490" s="390"/>
      <c r="I490" s="341"/>
      <c r="J490" s="342"/>
      <c r="K490" s="413">
        <f>"Why Attend:  https://itseuropeancongress.com/what-to-expect/"</f>
        <v>0</v>
      </c>
      <c r="L490" s="106">
        <f>"https://erticonetwork.com/its-european-congress-2020-call-for-contributions-now-open/"</f>
        <v>0</v>
      </c>
      <c r="M490" s="128">
        <f>"Portal:  https://programme.itsineurope2020.com/login"</f>
        <v>0</v>
      </c>
      <c r="N490" s="92" t="s">
        <v>1313</v>
      </c>
      <c r="O490" s="357" t="s">
        <v>596</v>
      </c>
      <c r="P490" s="337">
        <f>"https://itsineurope.com/"</f>
        <v>0</v>
      </c>
      <c r="Q490" s="358" t="s">
        <v>64</v>
      </c>
      <c r="R490" s="243" t="s">
        <v>65</v>
      </c>
      <c r="S490" s="422"/>
      <c r="T490" s="423"/>
      <c r="U490" s="423"/>
      <c r="V490" s="423"/>
      <c r="W490" s="423"/>
      <c r="X490" s="423"/>
      <c r="Y490" s="423"/>
      <c r="Z490" s="423"/>
      <c r="AA490" s="423"/>
      <c r="AB490" s="423"/>
      <c r="AC490" s="423"/>
      <c r="AD490" s="423"/>
      <c r="AE490" s="423"/>
      <c r="AF490" s="423"/>
      <c r="AG490" s="423"/>
      <c r="AH490" s="423"/>
      <c r="AI490" s="423"/>
      <c r="AJ490" s="423"/>
      <c r="AK490" s="423"/>
      <c r="AL490" s="423"/>
      <c r="AM490" s="423"/>
      <c r="AN490" s="423"/>
      <c r="AO490" s="423"/>
      <c r="AP490" s="423"/>
      <c r="AQ490" s="423"/>
      <c r="AR490" s="423"/>
      <c r="AS490" s="423"/>
      <c r="AT490" s="423"/>
      <c r="AU490" s="423"/>
      <c r="AV490" s="423"/>
      <c r="AW490" s="423"/>
      <c r="AX490" s="423"/>
      <c r="AY490" s="423"/>
      <c r="AZ490" s="423"/>
      <c r="BA490" s="423"/>
      <c r="BB490" s="423"/>
      <c r="BC490" s="423"/>
      <c r="BD490" s="423"/>
      <c r="BE490" s="423"/>
      <c r="BF490" s="423"/>
      <c r="BG490" s="423"/>
      <c r="BH490" s="423"/>
      <c r="BI490" s="423"/>
      <c r="BJ490" s="423"/>
      <c r="BK490" s="423"/>
      <c r="BL490" s="423"/>
    </row>
    <row r="491" spans="1:64" ht="25.5" customHeight="1">
      <c r="A491" s="334"/>
      <c r="B491" s="337"/>
      <c r="C491" s="337"/>
      <c r="D491" s="337"/>
      <c r="E491" s="338"/>
      <c r="F491" s="337"/>
      <c r="G491" s="339"/>
      <c r="H491" s="390"/>
      <c r="I491" s="341"/>
      <c r="J491" s="342"/>
      <c r="K491" s="413"/>
      <c r="L491" s="106">
        <f>"https://itseuropeancongress.com/submissions/"</f>
        <v>0</v>
      </c>
      <c r="M491" s="128" t="s">
        <v>1314</v>
      </c>
      <c r="N491" s="92"/>
      <c r="O491" s="357"/>
      <c r="P491" s="337"/>
      <c r="Q491" s="358"/>
      <c r="R491" s="243"/>
      <c r="S491" s="422"/>
      <c r="T491" s="423"/>
      <c r="U491" s="423"/>
      <c r="V491" s="423"/>
      <c r="W491" s="423"/>
      <c r="X491" s="423"/>
      <c r="Y491" s="423"/>
      <c r="Z491" s="423"/>
      <c r="AA491" s="423"/>
      <c r="AB491" s="423"/>
      <c r="AC491" s="423"/>
      <c r="AD491" s="423"/>
      <c r="AE491" s="423"/>
      <c r="AF491" s="423"/>
      <c r="AG491" s="423"/>
      <c r="AH491" s="423"/>
      <c r="AI491" s="423"/>
      <c r="AJ491" s="423"/>
      <c r="AK491" s="423"/>
      <c r="AL491" s="423"/>
      <c r="AM491" s="423"/>
      <c r="AN491" s="423"/>
      <c r="AO491" s="423"/>
      <c r="AP491" s="423"/>
      <c r="AQ491" s="423"/>
      <c r="AR491" s="423"/>
      <c r="AS491" s="423"/>
      <c r="AT491" s="423"/>
      <c r="AU491" s="423"/>
      <c r="AV491" s="423"/>
      <c r="AW491" s="423"/>
      <c r="AX491" s="423"/>
      <c r="AY491" s="423"/>
      <c r="AZ491" s="423"/>
      <c r="BA491" s="423"/>
      <c r="BB491" s="423"/>
      <c r="BC491" s="423"/>
      <c r="BD491" s="423"/>
      <c r="BE491" s="423"/>
      <c r="BF491" s="423"/>
      <c r="BG491" s="423"/>
      <c r="BH491" s="423"/>
      <c r="BI491" s="423"/>
      <c r="BJ491" s="423"/>
      <c r="BK491" s="423"/>
      <c r="BL491" s="423"/>
    </row>
    <row r="492" spans="1:64" ht="50.25" customHeight="1">
      <c r="A492" s="334"/>
      <c r="B492" s="337"/>
      <c r="C492" s="337"/>
      <c r="D492" s="337"/>
      <c r="E492" s="338"/>
      <c r="F492" s="337"/>
      <c r="G492" s="339"/>
      <c r="H492" s="390"/>
      <c r="I492" s="341"/>
      <c r="J492" s="342"/>
      <c r="K492" s="413"/>
      <c r="L492" s="106">
        <f>"Brochure:  https://itseuropeancongress.com/wp-content/uploads/2019/09/Call-for-Contributions_final.pdf"</f>
        <v>0</v>
      </c>
      <c r="M492" s="128"/>
      <c r="N492" s="92"/>
      <c r="O492" s="357"/>
      <c r="P492" s="337"/>
      <c r="Q492" s="358"/>
      <c r="R492" s="243"/>
      <c r="S492" s="422"/>
      <c r="T492" s="423"/>
      <c r="U492" s="423"/>
      <c r="V492" s="423"/>
      <c r="W492" s="423"/>
      <c r="X492" s="423"/>
      <c r="Y492" s="423"/>
      <c r="Z492" s="423"/>
      <c r="AA492" s="423"/>
      <c r="AB492" s="423"/>
      <c r="AC492" s="423"/>
      <c r="AD492" s="423"/>
      <c r="AE492" s="423"/>
      <c r="AF492" s="423"/>
      <c r="AG492" s="423"/>
      <c r="AH492" s="423"/>
      <c r="AI492" s="423"/>
      <c r="AJ492" s="423"/>
      <c r="AK492" s="423"/>
      <c r="AL492" s="423"/>
      <c r="AM492" s="423"/>
      <c r="AN492" s="423"/>
      <c r="AO492" s="423"/>
      <c r="AP492" s="423"/>
      <c r="AQ492" s="423"/>
      <c r="AR492" s="423"/>
      <c r="AS492" s="423"/>
      <c r="AT492" s="423"/>
      <c r="AU492" s="423"/>
      <c r="AV492" s="423"/>
      <c r="AW492" s="423"/>
      <c r="AX492" s="423"/>
      <c r="AY492" s="423"/>
      <c r="AZ492" s="423"/>
      <c r="BA492" s="423"/>
      <c r="BB492" s="423"/>
      <c r="BC492" s="423"/>
      <c r="BD492" s="423"/>
      <c r="BE492" s="423"/>
      <c r="BF492" s="423"/>
      <c r="BG492" s="423"/>
      <c r="BH492" s="423"/>
      <c r="BI492" s="423"/>
      <c r="BJ492" s="423"/>
      <c r="BK492" s="423"/>
      <c r="BL492" s="423"/>
    </row>
    <row r="493" spans="1:64" ht="41.25" customHeight="1">
      <c r="A493" s="334"/>
      <c r="B493" s="337"/>
      <c r="C493" s="337"/>
      <c r="D493" s="337"/>
      <c r="E493" s="338"/>
      <c r="F493" s="337"/>
      <c r="G493" s="339"/>
      <c r="H493" s="390"/>
      <c r="I493" s="341"/>
      <c r="J493" s="342"/>
      <c r="K493" s="413"/>
      <c r="L493" s="201">
        <f>"Demonstrations:  https://itseuropeancongress.com/demonstrations/"</f>
        <v>0</v>
      </c>
      <c r="M493" s="92">
        <f>"Brochure:  https://itseuropeancongress.com/wp-content/uploads/2019/09/ITS-Lisbon-Demonstrations-brochure..pdf"</f>
        <v>0</v>
      </c>
      <c r="N493" s="92">
        <f>"Initial Proposal:  2019/12/19"</f>
        <v>0</v>
      </c>
      <c r="O493" s="357"/>
      <c r="P493" s="337"/>
      <c r="Q493" s="358"/>
      <c r="R493" s="243"/>
      <c r="S493" s="422"/>
      <c r="T493" s="423"/>
      <c r="U493" s="423"/>
      <c r="V493" s="423"/>
      <c r="W493" s="423"/>
      <c r="X493" s="423"/>
      <c r="Y493" s="423"/>
      <c r="Z493" s="423"/>
      <c r="AA493" s="423"/>
      <c r="AB493" s="423"/>
      <c r="AC493" s="423"/>
      <c r="AD493" s="423"/>
      <c r="AE493" s="423"/>
      <c r="AF493" s="423"/>
      <c r="AG493" s="423"/>
      <c r="AH493" s="423"/>
      <c r="AI493" s="423"/>
      <c r="AJ493" s="423"/>
      <c r="AK493" s="423"/>
      <c r="AL493" s="423"/>
      <c r="AM493" s="423"/>
      <c r="AN493" s="423"/>
      <c r="AO493" s="423"/>
      <c r="AP493" s="423"/>
      <c r="AQ493" s="423"/>
      <c r="AR493" s="423"/>
      <c r="AS493" s="423"/>
      <c r="AT493" s="423"/>
      <c r="AU493" s="423"/>
      <c r="AV493" s="423"/>
      <c r="AW493" s="423"/>
      <c r="AX493" s="423"/>
      <c r="AY493" s="423"/>
      <c r="AZ493" s="423"/>
      <c r="BA493" s="423"/>
      <c r="BB493" s="423"/>
      <c r="BC493" s="423"/>
      <c r="BD493" s="423"/>
      <c r="BE493" s="423"/>
      <c r="BF493" s="423"/>
      <c r="BG493" s="423"/>
      <c r="BH493" s="423"/>
      <c r="BI493" s="423"/>
      <c r="BJ493" s="423"/>
      <c r="BK493" s="423"/>
      <c r="BL493" s="423"/>
    </row>
    <row r="494" spans="1:64" ht="63.75" customHeight="1">
      <c r="A494" s="334"/>
      <c r="B494" s="337"/>
      <c r="C494" s="337"/>
      <c r="D494" s="337"/>
      <c r="E494" s="338"/>
      <c r="F494" s="337"/>
      <c r="G494" s="339"/>
      <c r="H494" s="390"/>
      <c r="I494" s="341"/>
      <c r="J494" s="342"/>
      <c r="K494" s="413"/>
      <c r="L494" s="201">
        <f>"Application for Demo:  https://docs.google.com/forms/d/e/1FAIpQLSc9yHeVDnCYjRa1Rqsa-ZtpeGW95zObJXHN3MN9XUdLyakUzw/viewform"</f>
        <v>0</v>
      </c>
      <c r="M494" s="92"/>
      <c r="N494" s="92"/>
      <c r="O494" s="357"/>
      <c r="P494" s="337"/>
      <c r="Q494" s="358"/>
      <c r="R494" s="243"/>
      <c r="S494" s="422"/>
      <c r="T494" s="423"/>
      <c r="U494" s="423"/>
      <c r="V494" s="423"/>
      <c r="W494" s="423"/>
      <c r="X494" s="423"/>
      <c r="Y494" s="423"/>
      <c r="Z494" s="423"/>
      <c r="AA494" s="423"/>
      <c r="AB494" s="423"/>
      <c r="AC494" s="423"/>
      <c r="AD494" s="423"/>
      <c r="AE494" s="423"/>
      <c r="AF494" s="423"/>
      <c r="AG494" s="423"/>
      <c r="AH494" s="423"/>
      <c r="AI494" s="423"/>
      <c r="AJ494" s="423"/>
      <c r="AK494" s="423"/>
      <c r="AL494" s="423"/>
      <c r="AM494" s="423"/>
      <c r="AN494" s="423"/>
      <c r="AO494" s="423"/>
      <c r="AP494" s="423"/>
      <c r="AQ494" s="423"/>
      <c r="AR494" s="423"/>
      <c r="AS494" s="423"/>
      <c r="AT494" s="423"/>
      <c r="AU494" s="423"/>
      <c r="AV494" s="423"/>
      <c r="AW494" s="423"/>
      <c r="AX494" s="423"/>
      <c r="AY494" s="423"/>
      <c r="AZ494" s="423"/>
      <c r="BA494" s="423"/>
      <c r="BB494" s="423"/>
      <c r="BC494" s="423"/>
      <c r="BD494" s="423"/>
      <c r="BE494" s="423"/>
      <c r="BF494" s="423"/>
      <c r="BG494" s="423"/>
      <c r="BH494" s="423"/>
      <c r="BI494" s="423"/>
      <c r="BJ494" s="423"/>
      <c r="BK494" s="423"/>
      <c r="BL494" s="423"/>
    </row>
    <row r="495" spans="1:64" ht="38.25" customHeight="1">
      <c r="A495" s="334"/>
      <c r="B495" s="337"/>
      <c r="C495" s="337"/>
      <c r="D495" s="337"/>
      <c r="E495" s="338"/>
      <c r="F495" s="337"/>
      <c r="G495" s="339"/>
      <c r="H495" s="390"/>
      <c r="I495" s="341"/>
      <c r="J495" s="342"/>
      <c r="K495" s="413"/>
      <c r="L495" s="106">
        <f>"Technical Visits:  https://itseuropeancongress.com/technical-visits/"</f>
        <v>0</v>
      </c>
      <c r="M495" s="111"/>
      <c r="N495" s="111"/>
      <c r="O495" s="357"/>
      <c r="P495" s="337"/>
      <c r="Q495" s="358"/>
      <c r="R495" s="243"/>
      <c r="S495" s="422"/>
      <c r="T495" s="423"/>
      <c r="U495" s="423"/>
      <c r="V495" s="423"/>
      <c r="W495" s="423"/>
      <c r="X495" s="423"/>
      <c r="Y495" s="423"/>
      <c r="Z495" s="423"/>
      <c r="AA495" s="423"/>
      <c r="AB495" s="423"/>
      <c r="AC495" s="423"/>
      <c r="AD495" s="423"/>
      <c r="AE495" s="423"/>
      <c r="AF495" s="423"/>
      <c r="AG495" s="423"/>
      <c r="AH495" s="423"/>
      <c r="AI495" s="423"/>
      <c r="AJ495" s="423"/>
      <c r="AK495" s="423"/>
      <c r="AL495" s="423"/>
      <c r="AM495" s="423"/>
      <c r="AN495" s="423"/>
      <c r="AO495" s="423"/>
      <c r="AP495" s="423"/>
      <c r="AQ495" s="423"/>
      <c r="AR495" s="423"/>
      <c r="AS495" s="423"/>
      <c r="AT495" s="423"/>
      <c r="AU495" s="423"/>
      <c r="AV495" s="423"/>
      <c r="AW495" s="423"/>
      <c r="AX495" s="423"/>
      <c r="AY495" s="423"/>
      <c r="AZ495" s="423"/>
      <c r="BA495" s="423"/>
      <c r="BB495" s="423"/>
      <c r="BC495" s="423"/>
      <c r="BD495" s="423"/>
      <c r="BE495" s="423"/>
      <c r="BF495" s="423"/>
      <c r="BG495" s="423"/>
      <c r="BH495" s="423"/>
      <c r="BI495" s="423"/>
      <c r="BJ495" s="423"/>
      <c r="BK495" s="423"/>
      <c r="BL495" s="423"/>
    </row>
    <row r="504" spans="11:18" ht="15.75" customHeight="1">
      <c r="K504" s="360"/>
      <c r="L504" s="387"/>
      <c r="M504" s="387"/>
      <c r="N504" s="424"/>
      <c r="O504" s="347"/>
      <c r="P504" s="337"/>
      <c r="Q504" s="348"/>
      <c r="R504" s="208"/>
    </row>
    <row r="505" spans="11:18" ht="15.75" customHeight="1">
      <c r="K505" s="360"/>
      <c r="L505" s="387"/>
      <c r="M505" s="387"/>
      <c r="N505" s="424"/>
      <c r="O505" s="347"/>
      <c r="P505" s="337"/>
      <c r="Q505" s="348"/>
      <c r="R505" s="208"/>
    </row>
    <row r="506" spans="11:18" ht="15.75" customHeight="1">
      <c r="K506" s="360"/>
      <c r="L506" s="387"/>
      <c r="M506" s="387"/>
      <c r="N506" s="424"/>
      <c r="O506" s="347"/>
      <c r="P506" s="337"/>
      <c r="Q506" s="348"/>
      <c r="R506" s="208"/>
    </row>
    <row r="507" spans="11:18" ht="15.75" customHeight="1">
      <c r="K507" s="360"/>
      <c r="L507" s="387"/>
      <c r="M507" s="387"/>
      <c r="N507" s="424"/>
      <c r="O507" s="347"/>
      <c r="P507" s="337"/>
      <c r="Q507" s="348"/>
      <c r="R507" s="208"/>
    </row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897">
    <mergeCell ref="E1:G1"/>
    <mergeCell ref="I1:K1"/>
    <mergeCell ref="L1:M1"/>
    <mergeCell ref="N1:N2"/>
    <mergeCell ref="O1:Q1"/>
    <mergeCell ref="R1:R2"/>
    <mergeCell ref="O3:O4"/>
    <mergeCell ref="P3:P4"/>
    <mergeCell ref="Q3:Q4"/>
    <mergeCell ref="R3:R4"/>
    <mergeCell ref="A5:A6"/>
    <mergeCell ref="B5:B6"/>
    <mergeCell ref="C5:D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L11:M11"/>
    <mergeCell ref="A12:A17"/>
    <mergeCell ref="B12:B17"/>
    <mergeCell ref="C12:C17"/>
    <mergeCell ref="D12:D17"/>
    <mergeCell ref="E12:E17"/>
    <mergeCell ref="F12:F17"/>
    <mergeCell ref="G12:G17"/>
    <mergeCell ref="H12:H17"/>
    <mergeCell ref="I12:K12"/>
    <mergeCell ref="L12:M12"/>
    <mergeCell ref="O12:O17"/>
    <mergeCell ref="P12:P17"/>
    <mergeCell ref="Q12:Q17"/>
    <mergeCell ref="R12:R17"/>
    <mergeCell ref="I13:I14"/>
    <mergeCell ref="K13:K14"/>
    <mergeCell ref="L13:M13"/>
    <mergeCell ref="L14:M14"/>
    <mergeCell ref="I15:I17"/>
    <mergeCell ref="J15:J17"/>
    <mergeCell ref="K15:K17"/>
    <mergeCell ref="L15:M17"/>
    <mergeCell ref="A18:A21"/>
    <mergeCell ref="B18:B21"/>
    <mergeCell ref="C18:C21"/>
    <mergeCell ref="D18:D21"/>
    <mergeCell ref="E18:E21"/>
    <mergeCell ref="F18:F21"/>
    <mergeCell ref="G18:G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R18:R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N22:N23"/>
    <mergeCell ref="O22:O23"/>
    <mergeCell ref="P22:P23"/>
    <mergeCell ref="Q22:Q23"/>
    <mergeCell ref="R22:R23"/>
    <mergeCell ref="A24:A26"/>
    <mergeCell ref="B24:B26"/>
    <mergeCell ref="C24:C25"/>
    <mergeCell ref="D24:D26"/>
    <mergeCell ref="E24:E26"/>
    <mergeCell ref="F24:F26"/>
    <mergeCell ref="G24:G26"/>
    <mergeCell ref="H24:H26"/>
    <mergeCell ref="I24:J24"/>
    <mergeCell ref="O24:O26"/>
    <mergeCell ref="P24:P26"/>
    <mergeCell ref="Q24:Q26"/>
    <mergeCell ref="R24:R26"/>
    <mergeCell ref="I25:J25"/>
    <mergeCell ref="A27:A30"/>
    <mergeCell ref="B27:B30"/>
    <mergeCell ref="C27:C30"/>
    <mergeCell ref="D27:D30"/>
    <mergeCell ref="E27:E30"/>
    <mergeCell ref="F27:F30"/>
    <mergeCell ref="G27:G30"/>
    <mergeCell ref="H27:H30"/>
    <mergeCell ref="I27:J27"/>
    <mergeCell ref="L27:L30"/>
    <mergeCell ref="M27:M30"/>
    <mergeCell ref="N27:N30"/>
    <mergeCell ref="O27:O30"/>
    <mergeCell ref="P27:P30"/>
    <mergeCell ref="Q27:Q30"/>
    <mergeCell ref="R27:R30"/>
    <mergeCell ref="A31:A32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I33:J33"/>
    <mergeCell ref="A34:A38"/>
    <mergeCell ref="B34:B38"/>
    <mergeCell ref="C34:C38"/>
    <mergeCell ref="D34:D38"/>
    <mergeCell ref="E34:E38"/>
    <mergeCell ref="F34:F38"/>
    <mergeCell ref="G34:G38"/>
    <mergeCell ref="I34:I38"/>
    <mergeCell ref="J34:J38"/>
    <mergeCell ref="K34:K38"/>
    <mergeCell ref="L34:L38"/>
    <mergeCell ref="M34:M38"/>
    <mergeCell ref="N34:N38"/>
    <mergeCell ref="O34:O38"/>
    <mergeCell ref="P34:P38"/>
    <mergeCell ref="Q34:Q38"/>
    <mergeCell ref="R34:R38"/>
    <mergeCell ref="A48:A51"/>
    <mergeCell ref="B48:B51"/>
    <mergeCell ref="C48:C51"/>
    <mergeCell ref="D48:D51"/>
    <mergeCell ref="E48:E51"/>
    <mergeCell ref="F48:F51"/>
    <mergeCell ref="G48:G51"/>
    <mergeCell ref="I48:I51"/>
    <mergeCell ref="J48:J51"/>
    <mergeCell ref="K48:K51"/>
    <mergeCell ref="L48:L51"/>
    <mergeCell ref="M48:M51"/>
    <mergeCell ref="N48:N51"/>
    <mergeCell ref="O48:O51"/>
    <mergeCell ref="P48:P49"/>
    <mergeCell ref="Q48:Q51"/>
    <mergeCell ref="R48:R51"/>
    <mergeCell ref="P50:P51"/>
    <mergeCell ref="A52:A54"/>
    <mergeCell ref="B52:B54"/>
    <mergeCell ref="C52:C54"/>
    <mergeCell ref="D52:D54"/>
    <mergeCell ref="E52:E54"/>
    <mergeCell ref="F52:F54"/>
    <mergeCell ref="G52:G54"/>
    <mergeCell ref="I52:I54"/>
    <mergeCell ref="J52:J54"/>
    <mergeCell ref="K52:K54"/>
    <mergeCell ref="L52:L54"/>
    <mergeCell ref="M52:M54"/>
    <mergeCell ref="N52:N54"/>
    <mergeCell ref="O52:O54"/>
    <mergeCell ref="P52:P54"/>
    <mergeCell ref="Q52:Q54"/>
    <mergeCell ref="R52:R54"/>
    <mergeCell ref="A56:A57"/>
    <mergeCell ref="B56:B57"/>
    <mergeCell ref="D56:D57"/>
    <mergeCell ref="E56:E57"/>
    <mergeCell ref="F56:F57"/>
    <mergeCell ref="G56:G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A60:A62"/>
    <mergeCell ref="B60:B62"/>
    <mergeCell ref="C60:C62"/>
    <mergeCell ref="D60:D62"/>
    <mergeCell ref="E60:E62"/>
    <mergeCell ref="F60:F62"/>
    <mergeCell ref="G60:G62"/>
    <mergeCell ref="I60:I62"/>
    <mergeCell ref="J60:J62"/>
    <mergeCell ref="K60:K62"/>
    <mergeCell ref="L60:L62"/>
    <mergeCell ref="M60:M62"/>
    <mergeCell ref="N60:N62"/>
    <mergeCell ref="O60:O62"/>
    <mergeCell ref="P60:P62"/>
    <mergeCell ref="Q60:Q62"/>
    <mergeCell ref="R60:R62"/>
    <mergeCell ref="A63:A65"/>
    <mergeCell ref="B63:B65"/>
    <mergeCell ref="C63:C65"/>
    <mergeCell ref="D63:D65"/>
    <mergeCell ref="E63:E65"/>
    <mergeCell ref="F63:F65"/>
    <mergeCell ref="G63:G65"/>
    <mergeCell ref="I63:I65"/>
    <mergeCell ref="J63:J65"/>
    <mergeCell ref="K63:K65"/>
    <mergeCell ref="L63:L65"/>
    <mergeCell ref="M63:M65"/>
    <mergeCell ref="N63:N65"/>
    <mergeCell ref="O63:O65"/>
    <mergeCell ref="P63:P65"/>
    <mergeCell ref="Q63:Q65"/>
    <mergeCell ref="R63:R65"/>
    <mergeCell ref="A66:A67"/>
    <mergeCell ref="B66:B67"/>
    <mergeCell ref="C66:D67"/>
    <mergeCell ref="E66:E67"/>
    <mergeCell ref="F66:F67"/>
    <mergeCell ref="G66:G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A69:A70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L69:M69"/>
    <mergeCell ref="O69:O70"/>
    <mergeCell ref="P69:P70"/>
    <mergeCell ref="Q69:Q70"/>
    <mergeCell ref="R69:R70"/>
    <mergeCell ref="A71:A75"/>
    <mergeCell ref="B71:B75"/>
    <mergeCell ref="C71:C75"/>
    <mergeCell ref="D71:D75"/>
    <mergeCell ref="E71:E75"/>
    <mergeCell ref="F71:F75"/>
    <mergeCell ref="G71:G75"/>
    <mergeCell ref="I71:I75"/>
    <mergeCell ref="J71:J75"/>
    <mergeCell ref="K71:K75"/>
    <mergeCell ref="L71:L75"/>
    <mergeCell ref="M71:M75"/>
    <mergeCell ref="N71:N75"/>
    <mergeCell ref="O71:O75"/>
    <mergeCell ref="P71:P75"/>
    <mergeCell ref="Q71:Q75"/>
    <mergeCell ref="R71:R75"/>
    <mergeCell ref="A77:A80"/>
    <mergeCell ref="B77:B80"/>
    <mergeCell ref="C77:C80"/>
    <mergeCell ref="D77:D80"/>
    <mergeCell ref="E77:E80"/>
    <mergeCell ref="F77:F80"/>
    <mergeCell ref="G77:G80"/>
    <mergeCell ref="I77:I80"/>
    <mergeCell ref="J77:J80"/>
    <mergeCell ref="K77:K80"/>
    <mergeCell ref="L77:L80"/>
    <mergeCell ref="M77:M80"/>
    <mergeCell ref="N77:N80"/>
    <mergeCell ref="O77:O80"/>
    <mergeCell ref="P77:P80"/>
    <mergeCell ref="Q77:Q80"/>
    <mergeCell ref="R77:R80"/>
    <mergeCell ref="A81:A82"/>
    <mergeCell ref="B81:B82"/>
    <mergeCell ref="C81:C82"/>
    <mergeCell ref="D81:D82"/>
    <mergeCell ref="E81:E82"/>
    <mergeCell ref="F81:F82"/>
    <mergeCell ref="G81:G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4"/>
    <mergeCell ref="B83:B84"/>
    <mergeCell ref="D83:D84"/>
    <mergeCell ref="E83:E84"/>
    <mergeCell ref="F83:F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A85:A86"/>
    <mergeCell ref="B85:B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A92:A96"/>
    <mergeCell ref="B92:B96"/>
    <mergeCell ref="C92:C96"/>
    <mergeCell ref="D92:D96"/>
    <mergeCell ref="E92:E96"/>
    <mergeCell ref="F92:F96"/>
    <mergeCell ref="G92:G96"/>
    <mergeCell ref="I92:I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A97:A98"/>
    <mergeCell ref="B97:B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B102:B103"/>
    <mergeCell ref="D102:D103"/>
    <mergeCell ref="E102:E103"/>
    <mergeCell ref="F102:F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O104:O105"/>
    <mergeCell ref="P104:P105"/>
    <mergeCell ref="Q104:Q105"/>
    <mergeCell ref="R104:R105"/>
    <mergeCell ref="I107:J107"/>
    <mergeCell ref="A109:A110"/>
    <mergeCell ref="B109:B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O109:O110"/>
    <mergeCell ref="P109:P110"/>
    <mergeCell ref="Q109:Q110"/>
    <mergeCell ref="R109:R110"/>
    <mergeCell ref="A113:A114"/>
    <mergeCell ref="B113:B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A116:A117"/>
    <mergeCell ref="C116:C117"/>
    <mergeCell ref="D116:D118"/>
    <mergeCell ref="E116:E117"/>
    <mergeCell ref="F116:F117"/>
    <mergeCell ref="G116:G117"/>
    <mergeCell ref="H116:H117"/>
    <mergeCell ref="I116:I117"/>
    <mergeCell ref="J116:J118"/>
    <mergeCell ref="K116:K118"/>
    <mergeCell ref="N116:N117"/>
    <mergeCell ref="Q116:Q118"/>
    <mergeCell ref="R116:R118"/>
    <mergeCell ref="O117:O118"/>
    <mergeCell ref="P117:P118"/>
    <mergeCell ref="C119:C120"/>
    <mergeCell ref="D119:D120"/>
    <mergeCell ref="E119:E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A122:A131"/>
    <mergeCell ref="B122:B131"/>
    <mergeCell ref="C122:C131"/>
    <mergeCell ref="D122:D131"/>
    <mergeCell ref="E122:E131"/>
    <mergeCell ref="F122:F131"/>
    <mergeCell ref="G122:G131"/>
    <mergeCell ref="H122:H131"/>
    <mergeCell ref="J122:K122"/>
    <mergeCell ref="L122:L131"/>
    <mergeCell ref="M122:M131"/>
    <mergeCell ref="N122:N131"/>
    <mergeCell ref="O122:O131"/>
    <mergeCell ref="P122:P131"/>
    <mergeCell ref="Q122:Q131"/>
    <mergeCell ref="R122:R131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A134:A140"/>
    <mergeCell ref="B134:B140"/>
    <mergeCell ref="C134:C140"/>
    <mergeCell ref="D134:D140"/>
    <mergeCell ref="E134:E140"/>
    <mergeCell ref="F134:F140"/>
    <mergeCell ref="G134:G140"/>
    <mergeCell ref="H134:H140"/>
    <mergeCell ref="I134:I140"/>
    <mergeCell ref="J134:J140"/>
    <mergeCell ref="K134:K140"/>
    <mergeCell ref="O134:O140"/>
    <mergeCell ref="P134:P140"/>
    <mergeCell ref="Q134:Q140"/>
    <mergeCell ref="R134:R140"/>
    <mergeCell ref="L137:L138"/>
    <mergeCell ref="M137:M138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J141:J142"/>
    <mergeCell ref="K141:K142"/>
    <mergeCell ref="O141:O142"/>
    <mergeCell ref="P141:P142"/>
    <mergeCell ref="Q141:Q142"/>
    <mergeCell ref="R141:R142"/>
    <mergeCell ref="A147:A148"/>
    <mergeCell ref="B147:B148"/>
    <mergeCell ref="D147:D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M149:N149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M151:M152"/>
    <mergeCell ref="N151:N152"/>
    <mergeCell ref="O151:O152"/>
    <mergeCell ref="P151:P152"/>
    <mergeCell ref="Q151:Q152"/>
    <mergeCell ref="R151:R152"/>
    <mergeCell ref="A153:A154"/>
    <mergeCell ref="B153:B154"/>
    <mergeCell ref="C153:C154"/>
    <mergeCell ref="D153:D154"/>
    <mergeCell ref="E153:E154"/>
    <mergeCell ref="F153:F154"/>
    <mergeCell ref="G153:G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A155:A158"/>
    <mergeCell ref="B155:B158"/>
    <mergeCell ref="C155:C158"/>
    <mergeCell ref="D155:D158"/>
    <mergeCell ref="E155:E158"/>
    <mergeCell ref="F155:F158"/>
    <mergeCell ref="G155:G158"/>
    <mergeCell ref="I155:I158"/>
    <mergeCell ref="J155:J158"/>
    <mergeCell ref="K155:K158"/>
    <mergeCell ref="L155:L158"/>
    <mergeCell ref="M155:M158"/>
    <mergeCell ref="N155:N158"/>
    <mergeCell ref="O155:O158"/>
    <mergeCell ref="P155:P158"/>
    <mergeCell ref="Q155:Q158"/>
    <mergeCell ref="R155:R158"/>
    <mergeCell ref="B159:B162"/>
    <mergeCell ref="D159:D162"/>
    <mergeCell ref="E159:E162"/>
    <mergeCell ref="F159:F162"/>
    <mergeCell ref="I159:J159"/>
    <mergeCell ref="A160:A161"/>
    <mergeCell ref="C160:C161"/>
    <mergeCell ref="G160:G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I162:J162"/>
    <mergeCell ref="L163:M163"/>
    <mergeCell ref="A164:A168"/>
    <mergeCell ref="B164:B168"/>
    <mergeCell ref="C164:C168"/>
    <mergeCell ref="D164:D168"/>
    <mergeCell ref="E164:E168"/>
    <mergeCell ref="F164:F168"/>
    <mergeCell ref="G164:G168"/>
    <mergeCell ref="I164:I168"/>
    <mergeCell ref="J164:J168"/>
    <mergeCell ref="K164:K168"/>
    <mergeCell ref="L164:L168"/>
    <mergeCell ref="M164:M168"/>
    <mergeCell ref="N164:N168"/>
    <mergeCell ref="O164:O168"/>
    <mergeCell ref="P164:P168"/>
    <mergeCell ref="Q164:Q168"/>
    <mergeCell ref="R164:R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M169:M170"/>
    <mergeCell ref="N169:N170"/>
    <mergeCell ref="Q169:Q170"/>
    <mergeCell ref="R169:R170"/>
    <mergeCell ref="A171:A172"/>
    <mergeCell ref="B171:B172"/>
    <mergeCell ref="C171:C172"/>
    <mergeCell ref="D171:D172"/>
    <mergeCell ref="E171:E172"/>
    <mergeCell ref="F171:F172"/>
    <mergeCell ref="G171:G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A173:A176"/>
    <mergeCell ref="B173:B179"/>
    <mergeCell ref="C173:C176"/>
    <mergeCell ref="D173:D179"/>
    <mergeCell ref="E173:E179"/>
    <mergeCell ref="F173:F179"/>
    <mergeCell ref="H173:H176"/>
    <mergeCell ref="I173:I176"/>
    <mergeCell ref="J173:J176"/>
    <mergeCell ref="K173:K177"/>
    <mergeCell ref="O173:O179"/>
    <mergeCell ref="P173:P179"/>
    <mergeCell ref="Q173:Q179"/>
    <mergeCell ref="R173:R179"/>
    <mergeCell ref="M174:M175"/>
    <mergeCell ref="G175:G177"/>
    <mergeCell ref="A180:A183"/>
    <mergeCell ref="B180:B183"/>
    <mergeCell ref="C180:C183"/>
    <mergeCell ref="D180:D183"/>
    <mergeCell ref="E180:E183"/>
    <mergeCell ref="F180:F183"/>
    <mergeCell ref="G180:G183"/>
    <mergeCell ref="I180:I183"/>
    <mergeCell ref="J180:J183"/>
    <mergeCell ref="K180:K183"/>
    <mergeCell ref="L180:L183"/>
    <mergeCell ref="M180:N183"/>
    <mergeCell ref="O180:O183"/>
    <mergeCell ref="P180:P183"/>
    <mergeCell ref="Q180:Q183"/>
    <mergeCell ref="R180:R183"/>
    <mergeCell ref="A186:A187"/>
    <mergeCell ref="B186:B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A188:A192"/>
    <mergeCell ref="B188:B192"/>
    <mergeCell ref="C188:C192"/>
    <mergeCell ref="D188:D192"/>
    <mergeCell ref="E188:E192"/>
    <mergeCell ref="F188:F192"/>
    <mergeCell ref="G188:G192"/>
    <mergeCell ref="I188:I192"/>
    <mergeCell ref="J188:J192"/>
    <mergeCell ref="K188:K192"/>
    <mergeCell ref="L188:L189"/>
    <mergeCell ref="M188:M192"/>
    <mergeCell ref="N188:N192"/>
    <mergeCell ref="O188:O192"/>
    <mergeCell ref="P188:P192"/>
    <mergeCell ref="Q188:Q192"/>
    <mergeCell ref="R188:R192"/>
    <mergeCell ref="L190:L191"/>
    <mergeCell ref="A194:A197"/>
    <mergeCell ref="B194:B197"/>
    <mergeCell ref="C194:C197"/>
    <mergeCell ref="D194:D197"/>
    <mergeCell ref="E194:E197"/>
    <mergeCell ref="F194:F197"/>
    <mergeCell ref="G194:G197"/>
    <mergeCell ref="I194:I197"/>
    <mergeCell ref="J194:J197"/>
    <mergeCell ref="O194:O197"/>
    <mergeCell ref="P194:P197"/>
    <mergeCell ref="Q194:Q197"/>
    <mergeCell ref="R194:R197"/>
    <mergeCell ref="H195:H197"/>
    <mergeCell ref="K195:K197"/>
    <mergeCell ref="N196:N197"/>
    <mergeCell ref="L198:M198"/>
    <mergeCell ref="A204:A207"/>
    <mergeCell ref="B204:B207"/>
    <mergeCell ref="C204:C207"/>
    <mergeCell ref="D204:D207"/>
    <mergeCell ref="E204:E207"/>
    <mergeCell ref="F204:F207"/>
    <mergeCell ref="G204:G207"/>
    <mergeCell ref="I204:I207"/>
    <mergeCell ref="J204:J207"/>
    <mergeCell ref="K204:K207"/>
    <mergeCell ref="L204:M207"/>
    <mergeCell ref="O204:O207"/>
    <mergeCell ref="P204:P207"/>
    <mergeCell ref="Q204:Q207"/>
    <mergeCell ref="R204:R207"/>
    <mergeCell ref="C209:C210"/>
    <mergeCell ref="D209:D210"/>
    <mergeCell ref="H209:K209"/>
    <mergeCell ref="M209:N209"/>
    <mergeCell ref="O209:O210"/>
    <mergeCell ref="P209:P210"/>
    <mergeCell ref="Q209:Q210"/>
    <mergeCell ref="R209:R210"/>
    <mergeCell ref="H210:K210"/>
    <mergeCell ref="M210:N210"/>
    <mergeCell ref="A211:A213"/>
    <mergeCell ref="B211:B213"/>
    <mergeCell ref="C211:C213"/>
    <mergeCell ref="D211:D213"/>
    <mergeCell ref="E211:E212"/>
    <mergeCell ref="F211:F213"/>
    <mergeCell ref="G211:G213"/>
    <mergeCell ref="H211:H213"/>
    <mergeCell ref="I211:I213"/>
    <mergeCell ref="J211:J213"/>
    <mergeCell ref="O211:O213"/>
    <mergeCell ref="P211:P213"/>
    <mergeCell ref="Q211:Q213"/>
    <mergeCell ref="R211:R213"/>
    <mergeCell ref="K212:K213"/>
    <mergeCell ref="A215:A217"/>
    <mergeCell ref="B215:B217"/>
    <mergeCell ref="C215:C217"/>
    <mergeCell ref="D215:D217"/>
    <mergeCell ref="E215:E217"/>
    <mergeCell ref="F215:F216"/>
    <mergeCell ref="G215:G217"/>
    <mergeCell ref="H215:H217"/>
    <mergeCell ref="I215:I217"/>
    <mergeCell ref="J215:J217"/>
    <mergeCell ref="K215:K217"/>
    <mergeCell ref="M215:N215"/>
    <mergeCell ref="O215:O217"/>
    <mergeCell ref="Q215:Q217"/>
    <mergeCell ref="R215:R217"/>
    <mergeCell ref="M216:N216"/>
    <mergeCell ref="P216:P217"/>
    <mergeCell ref="M217:N217"/>
    <mergeCell ref="A218:A219"/>
    <mergeCell ref="B218:B219"/>
    <mergeCell ref="D218:D219"/>
    <mergeCell ref="E218:E219"/>
    <mergeCell ref="F218:F219"/>
    <mergeCell ref="G218:G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A220:A225"/>
    <mergeCell ref="B220:B225"/>
    <mergeCell ref="C220:C222"/>
    <mergeCell ref="D220:D225"/>
    <mergeCell ref="E220:E225"/>
    <mergeCell ref="F220:F222"/>
    <mergeCell ref="G220:G225"/>
    <mergeCell ref="I220:I225"/>
    <mergeCell ref="J220:J225"/>
    <mergeCell ref="K220:K225"/>
    <mergeCell ref="L220:L225"/>
    <mergeCell ref="M220:M225"/>
    <mergeCell ref="N220:N225"/>
    <mergeCell ref="O220:O222"/>
    <mergeCell ref="P220:P222"/>
    <mergeCell ref="Q220:Q225"/>
    <mergeCell ref="R220:R225"/>
    <mergeCell ref="C223:C225"/>
    <mergeCell ref="F223:F225"/>
    <mergeCell ref="O223:O225"/>
    <mergeCell ref="P223:P225"/>
    <mergeCell ref="A226:A227"/>
    <mergeCell ref="B226:B227"/>
    <mergeCell ref="C226:C227"/>
    <mergeCell ref="D226:D227"/>
    <mergeCell ref="E226:E227"/>
    <mergeCell ref="F226:F227"/>
    <mergeCell ref="G226:G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R226:R227"/>
    <mergeCell ref="L230:M230"/>
    <mergeCell ref="B231:B232"/>
    <mergeCell ref="D231:D232"/>
    <mergeCell ref="F231:F232"/>
    <mergeCell ref="G231:G232"/>
    <mergeCell ref="H231:H232"/>
    <mergeCell ref="I231:I232"/>
    <mergeCell ref="J231:J232"/>
    <mergeCell ref="K231:K232"/>
    <mergeCell ref="L231:L232"/>
    <mergeCell ref="M231:M232"/>
    <mergeCell ref="N231:N232"/>
    <mergeCell ref="O231:O232"/>
    <mergeCell ref="P231:P232"/>
    <mergeCell ref="Q231:Q232"/>
    <mergeCell ref="R231:R232"/>
    <mergeCell ref="A234:A235"/>
    <mergeCell ref="B234:B235"/>
    <mergeCell ref="D234:D235"/>
    <mergeCell ref="E234:E235"/>
    <mergeCell ref="F234:F235"/>
    <mergeCell ref="G234:G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A236:A237"/>
    <mergeCell ref="B236:B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L239:L240"/>
    <mergeCell ref="M239:N240"/>
    <mergeCell ref="O239:O240"/>
    <mergeCell ref="P239:P240"/>
    <mergeCell ref="Q239:Q240"/>
    <mergeCell ref="R239:R240"/>
    <mergeCell ref="L241:M241"/>
    <mergeCell ref="A244:A245"/>
    <mergeCell ref="B244:B245"/>
    <mergeCell ref="C244:C245"/>
    <mergeCell ref="D244:D246"/>
    <mergeCell ref="F244:F245"/>
    <mergeCell ref="G244:G245"/>
    <mergeCell ref="H244:H245"/>
    <mergeCell ref="I244:I245"/>
    <mergeCell ref="J244:J245"/>
    <mergeCell ref="M244:M245"/>
    <mergeCell ref="N244:N245"/>
    <mergeCell ref="O244:O246"/>
    <mergeCell ref="P244:P246"/>
    <mergeCell ref="Q244:Q246"/>
    <mergeCell ref="R244:R246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M249:M250"/>
    <mergeCell ref="N249:N250"/>
    <mergeCell ref="O249:O250"/>
    <mergeCell ref="P249:P250"/>
    <mergeCell ref="Q249:Q250"/>
    <mergeCell ref="R249:R250"/>
    <mergeCell ref="I251:J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O252:O253"/>
    <mergeCell ref="P252:P253"/>
    <mergeCell ref="Q252:Q253"/>
    <mergeCell ref="R252:R253"/>
    <mergeCell ref="M253:N253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Q254:Q255"/>
    <mergeCell ref="R254:R255"/>
    <mergeCell ref="L261:M261"/>
    <mergeCell ref="A263:A271"/>
    <mergeCell ref="B263:B271"/>
    <mergeCell ref="C263:C271"/>
    <mergeCell ref="D263:D271"/>
    <mergeCell ref="E263:E266"/>
    <mergeCell ref="F263:F271"/>
    <mergeCell ref="G263:G271"/>
    <mergeCell ref="H263:H271"/>
    <mergeCell ref="I263:I271"/>
    <mergeCell ref="J263:J271"/>
    <mergeCell ref="K263:K271"/>
    <mergeCell ref="O263:O271"/>
    <mergeCell ref="P263:P271"/>
    <mergeCell ref="Q263:Q271"/>
    <mergeCell ref="R263:R271"/>
    <mergeCell ref="L265:M265"/>
    <mergeCell ref="L266:M266"/>
    <mergeCell ref="E267:E268"/>
    <mergeCell ref="L267:M267"/>
    <mergeCell ref="L268:M268"/>
    <mergeCell ref="E269:E271"/>
    <mergeCell ref="A272:A273"/>
    <mergeCell ref="B272:B273"/>
    <mergeCell ref="C272:C273"/>
    <mergeCell ref="D272:D273"/>
    <mergeCell ref="E272:E273"/>
    <mergeCell ref="F272:F273"/>
    <mergeCell ref="G272:G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Q272:Q273"/>
    <mergeCell ref="R272:R273"/>
    <mergeCell ref="A275:A277"/>
    <mergeCell ref="B275:B277"/>
    <mergeCell ref="C275:C277"/>
    <mergeCell ref="D275:D277"/>
    <mergeCell ref="E275:E277"/>
    <mergeCell ref="F275:F277"/>
    <mergeCell ref="G275:G277"/>
    <mergeCell ref="I275:I277"/>
    <mergeCell ref="J275:J277"/>
    <mergeCell ref="K275:K277"/>
    <mergeCell ref="L275:L277"/>
    <mergeCell ref="M275:M277"/>
    <mergeCell ref="N275:N277"/>
    <mergeCell ref="O275:O277"/>
    <mergeCell ref="P275:P277"/>
    <mergeCell ref="Q275:Q277"/>
    <mergeCell ref="R275:R277"/>
    <mergeCell ref="A279:A280"/>
    <mergeCell ref="B279:B280"/>
    <mergeCell ref="D279:D280"/>
    <mergeCell ref="E279:E280"/>
    <mergeCell ref="F279:F280"/>
    <mergeCell ref="G279:G280"/>
    <mergeCell ref="I279:I280"/>
    <mergeCell ref="J279:J280"/>
    <mergeCell ref="O279:O280"/>
    <mergeCell ref="P279:P280"/>
    <mergeCell ref="Q279:Q280"/>
    <mergeCell ref="R279:R280"/>
    <mergeCell ref="M280:N280"/>
    <mergeCell ref="A284:A285"/>
    <mergeCell ref="B284:B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M284:M285"/>
    <mergeCell ref="O284:O285"/>
    <mergeCell ref="P284:P285"/>
    <mergeCell ref="Q284:Q285"/>
    <mergeCell ref="R284:R285"/>
    <mergeCell ref="A286:A289"/>
    <mergeCell ref="B286:B289"/>
    <mergeCell ref="C286:C289"/>
    <mergeCell ref="D286:D289"/>
    <mergeCell ref="E286:E289"/>
    <mergeCell ref="F286:F289"/>
    <mergeCell ref="G286:G289"/>
    <mergeCell ref="H286:H289"/>
    <mergeCell ref="I286:J286"/>
    <mergeCell ref="L286:L289"/>
    <mergeCell ref="M286:M289"/>
    <mergeCell ref="N286:N289"/>
    <mergeCell ref="O286:O289"/>
    <mergeCell ref="P286:P289"/>
    <mergeCell ref="Q286:Q289"/>
    <mergeCell ref="R286:R289"/>
    <mergeCell ref="L292:M292"/>
    <mergeCell ref="A293:A295"/>
    <mergeCell ref="B293:B295"/>
    <mergeCell ref="C293:C295"/>
    <mergeCell ref="D293:D295"/>
    <mergeCell ref="E293:E295"/>
    <mergeCell ref="F293:F295"/>
    <mergeCell ref="G293:G295"/>
    <mergeCell ref="I293:I295"/>
    <mergeCell ref="J293:J295"/>
    <mergeCell ref="K293:K295"/>
    <mergeCell ref="L293:L295"/>
    <mergeCell ref="M293:M295"/>
    <mergeCell ref="N293:N295"/>
    <mergeCell ref="O293:O295"/>
    <mergeCell ref="P293:P295"/>
    <mergeCell ref="Q293:Q295"/>
    <mergeCell ref="R293:R295"/>
    <mergeCell ref="L296:L297"/>
    <mergeCell ref="M296:M297"/>
    <mergeCell ref="N296:N297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L298:L299"/>
    <mergeCell ref="M298:M299"/>
    <mergeCell ref="N298:N299"/>
    <mergeCell ref="O298:O299"/>
    <mergeCell ref="P298:P299"/>
    <mergeCell ref="Q298:Q299"/>
    <mergeCell ref="R298:R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J300"/>
    <mergeCell ref="K300:K301"/>
    <mergeCell ref="L300:L301"/>
    <mergeCell ref="M300:M301"/>
    <mergeCell ref="N300:N301"/>
    <mergeCell ref="O300:O301"/>
    <mergeCell ref="P300:P301"/>
    <mergeCell ref="Q300:Q301"/>
    <mergeCell ref="R300:R301"/>
    <mergeCell ref="I301:J301"/>
    <mergeCell ref="A302:A303"/>
    <mergeCell ref="B302:B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Q302:Q303"/>
    <mergeCell ref="R302:R303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M306:M307"/>
    <mergeCell ref="N306:N307"/>
    <mergeCell ref="O306:O307"/>
    <mergeCell ref="P306:P307"/>
    <mergeCell ref="Q306:Q307"/>
    <mergeCell ref="R306:R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K309"/>
    <mergeCell ref="M308:M309"/>
    <mergeCell ref="N308:N309"/>
    <mergeCell ref="O308:O309"/>
    <mergeCell ref="P308:P309"/>
    <mergeCell ref="Q308:Q309"/>
    <mergeCell ref="R308:R309"/>
    <mergeCell ref="A310:A312"/>
    <mergeCell ref="B310:B312"/>
    <mergeCell ref="C310:C312"/>
    <mergeCell ref="D310:D312"/>
    <mergeCell ref="E310:E312"/>
    <mergeCell ref="F310:F312"/>
    <mergeCell ref="G310:G312"/>
    <mergeCell ref="I310:I312"/>
    <mergeCell ref="J310:J312"/>
    <mergeCell ref="K310:K312"/>
    <mergeCell ref="L310:L312"/>
    <mergeCell ref="M310:M312"/>
    <mergeCell ref="N310:N312"/>
    <mergeCell ref="O310:O312"/>
    <mergeCell ref="P310:P312"/>
    <mergeCell ref="Q310:Q312"/>
    <mergeCell ref="R310:R312"/>
    <mergeCell ref="A313:A317"/>
    <mergeCell ref="B313:B317"/>
    <mergeCell ref="C313:C317"/>
    <mergeCell ref="D313:D317"/>
    <mergeCell ref="E313:E317"/>
    <mergeCell ref="F313:F317"/>
    <mergeCell ref="G313:G317"/>
    <mergeCell ref="I313:I317"/>
    <mergeCell ref="J313:J317"/>
    <mergeCell ref="K313:K317"/>
    <mergeCell ref="L313:L317"/>
    <mergeCell ref="M313:M317"/>
    <mergeCell ref="N313:N317"/>
    <mergeCell ref="O313:O317"/>
    <mergeCell ref="P313:P317"/>
    <mergeCell ref="Q313:Q317"/>
    <mergeCell ref="R313:R317"/>
    <mergeCell ref="L318:M318"/>
    <mergeCell ref="A319:A324"/>
    <mergeCell ref="B319:B324"/>
    <mergeCell ref="C319:C324"/>
    <mergeCell ref="D319:D324"/>
    <mergeCell ref="E319:E324"/>
    <mergeCell ref="F319:F324"/>
    <mergeCell ref="G319:G324"/>
    <mergeCell ref="H319:H324"/>
    <mergeCell ref="I319:I324"/>
    <mergeCell ref="J319:J324"/>
    <mergeCell ref="K319:K324"/>
    <mergeCell ref="L319:N319"/>
    <mergeCell ref="O319:O324"/>
    <mergeCell ref="P319:P324"/>
    <mergeCell ref="Q319:Q324"/>
    <mergeCell ref="R319:R324"/>
    <mergeCell ref="L320:N320"/>
    <mergeCell ref="L321:N321"/>
    <mergeCell ref="L322:N322"/>
    <mergeCell ref="L323:N323"/>
    <mergeCell ref="L324:N324"/>
    <mergeCell ref="A326:A332"/>
    <mergeCell ref="B326:B332"/>
    <mergeCell ref="C326:C332"/>
    <mergeCell ref="D326:D332"/>
    <mergeCell ref="E326:E332"/>
    <mergeCell ref="F326:F332"/>
    <mergeCell ref="G326:G332"/>
    <mergeCell ref="H326:H332"/>
    <mergeCell ref="I326:I332"/>
    <mergeCell ref="J326:J332"/>
    <mergeCell ref="K326:K332"/>
    <mergeCell ref="O326:O332"/>
    <mergeCell ref="P326:P332"/>
    <mergeCell ref="Q326:Q332"/>
    <mergeCell ref="R326:R332"/>
    <mergeCell ref="L329:L330"/>
    <mergeCell ref="M329:M330"/>
    <mergeCell ref="A333:A336"/>
    <mergeCell ref="B333:B336"/>
    <mergeCell ref="C333:C336"/>
    <mergeCell ref="D333:D336"/>
    <mergeCell ref="E333:E336"/>
    <mergeCell ref="F333:F336"/>
    <mergeCell ref="G333:G336"/>
    <mergeCell ref="I333:I336"/>
    <mergeCell ref="J333:J336"/>
    <mergeCell ref="K333:K336"/>
    <mergeCell ref="L333:L334"/>
    <mergeCell ref="M333:N334"/>
    <mergeCell ref="O333:O336"/>
    <mergeCell ref="P333:P336"/>
    <mergeCell ref="Q333:Q336"/>
    <mergeCell ref="R333:R336"/>
    <mergeCell ref="L335:L336"/>
    <mergeCell ref="M335:N336"/>
    <mergeCell ref="A337:A338"/>
    <mergeCell ref="B337:B338"/>
    <mergeCell ref="C337:C338"/>
    <mergeCell ref="D337:D338"/>
    <mergeCell ref="E337:E338"/>
    <mergeCell ref="F337:F338"/>
    <mergeCell ref="G337:G338"/>
    <mergeCell ref="I337:I338"/>
    <mergeCell ref="J337:J338"/>
    <mergeCell ref="K337:K338"/>
    <mergeCell ref="M337:M338"/>
    <mergeCell ref="N337:N338"/>
    <mergeCell ref="O337:O338"/>
    <mergeCell ref="P337:P338"/>
    <mergeCell ref="Q337:Q338"/>
    <mergeCell ref="R337:R338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K339:K340"/>
    <mergeCell ref="L339:L340"/>
    <mergeCell ref="M339:M340"/>
    <mergeCell ref="O339:O340"/>
    <mergeCell ref="P339:P340"/>
    <mergeCell ref="Q339:Q340"/>
    <mergeCell ref="R339:R340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N342:N343"/>
    <mergeCell ref="O342:O343"/>
    <mergeCell ref="P342:P343"/>
    <mergeCell ref="Q342:Q343"/>
    <mergeCell ref="R342:R343"/>
    <mergeCell ref="A344:A346"/>
    <mergeCell ref="B344:B346"/>
    <mergeCell ref="C344:C346"/>
    <mergeCell ref="D344:D346"/>
    <mergeCell ref="E344:E346"/>
    <mergeCell ref="F344:F346"/>
    <mergeCell ref="G344:G346"/>
    <mergeCell ref="H344:H346"/>
    <mergeCell ref="I344:I346"/>
    <mergeCell ref="J344:J346"/>
    <mergeCell ref="K344:K346"/>
    <mergeCell ref="O344:O346"/>
    <mergeCell ref="P344:P346"/>
    <mergeCell ref="Q344:Q346"/>
    <mergeCell ref="R344:R346"/>
    <mergeCell ref="A348:A351"/>
    <mergeCell ref="B348:B351"/>
    <mergeCell ref="C348:C350"/>
    <mergeCell ref="D348:D351"/>
    <mergeCell ref="E348:E350"/>
    <mergeCell ref="F348:F351"/>
    <mergeCell ref="G348:G350"/>
    <mergeCell ref="H348:H350"/>
    <mergeCell ref="I348:I350"/>
    <mergeCell ref="J348:J350"/>
    <mergeCell ref="K348:K350"/>
    <mergeCell ref="N348:N350"/>
    <mergeCell ref="O348:O351"/>
    <mergeCell ref="P348:P351"/>
    <mergeCell ref="Q348:Q351"/>
    <mergeCell ref="R348:R351"/>
    <mergeCell ref="M349:M350"/>
    <mergeCell ref="A352:A355"/>
    <mergeCell ref="B352:B355"/>
    <mergeCell ref="C352:C355"/>
    <mergeCell ref="H352:H355"/>
    <mergeCell ref="I352:I355"/>
    <mergeCell ref="J352:J355"/>
    <mergeCell ref="K352:K355"/>
    <mergeCell ref="L352:L355"/>
    <mergeCell ref="M352:M355"/>
    <mergeCell ref="N352:N355"/>
    <mergeCell ref="O352:O355"/>
    <mergeCell ref="P352:P355"/>
    <mergeCell ref="Q352:Q355"/>
    <mergeCell ref="R352:R355"/>
    <mergeCell ref="A357:A360"/>
    <mergeCell ref="B357:B363"/>
    <mergeCell ref="C357:C360"/>
    <mergeCell ref="D357:D363"/>
    <mergeCell ref="E357:E363"/>
    <mergeCell ref="F357:F363"/>
    <mergeCell ref="G357:G360"/>
    <mergeCell ref="H357:H363"/>
    <mergeCell ref="I357:I363"/>
    <mergeCell ref="J357:J363"/>
    <mergeCell ref="K357:K362"/>
    <mergeCell ref="M357:M358"/>
    <mergeCell ref="O357:O362"/>
    <mergeCell ref="P357:P362"/>
    <mergeCell ref="Q357:Q362"/>
    <mergeCell ref="R357:R362"/>
    <mergeCell ref="L360:N360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A369:A372"/>
    <mergeCell ref="B369:B372"/>
    <mergeCell ref="C369:C372"/>
    <mergeCell ref="D369:D372"/>
    <mergeCell ref="E369:E370"/>
    <mergeCell ref="F369:F372"/>
    <mergeCell ref="G369:G372"/>
    <mergeCell ref="H369:H372"/>
    <mergeCell ref="I369:I372"/>
    <mergeCell ref="J369:J372"/>
    <mergeCell ref="K369:K372"/>
    <mergeCell ref="M369:M370"/>
    <mergeCell ref="N369:N372"/>
    <mergeCell ref="O369:O372"/>
    <mergeCell ref="P369:P372"/>
    <mergeCell ref="Q369:Q372"/>
    <mergeCell ref="R369:R372"/>
    <mergeCell ref="M371:M372"/>
    <mergeCell ref="A373:A377"/>
    <mergeCell ref="B373:B377"/>
    <mergeCell ref="C373:C377"/>
    <mergeCell ref="D373:D377"/>
    <mergeCell ref="E373:E377"/>
    <mergeCell ref="F373:F377"/>
    <mergeCell ref="G373:G377"/>
    <mergeCell ref="H373:H377"/>
    <mergeCell ref="I373:I377"/>
    <mergeCell ref="J373:J377"/>
    <mergeCell ref="K373:K377"/>
    <mergeCell ref="O373:O377"/>
    <mergeCell ref="P373:P377"/>
    <mergeCell ref="Q373:Q377"/>
    <mergeCell ref="R373:R377"/>
    <mergeCell ref="A378:A381"/>
    <mergeCell ref="B378:B381"/>
    <mergeCell ref="C378:C379"/>
    <mergeCell ref="D378:D381"/>
    <mergeCell ref="E378:E381"/>
    <mergeCell ref="F378:F381"/>
    <mergeCell ref="G378:G381"/>
    <mergeCell ref="I378:I381"/>
    <mergeCell ref="J378:J381"/>
    <mergeCell ref="K378:K381"/>
    <mergeCell ref="L378:L381"/>
    <mergeCell ref="M378:M381"/>
    <mergeCell ref="N378:N381"/>
    <mergeCell ref="O378:O381"/>
    <mergeCell ref="P378:P381"/>
    <mergeCell ref="Q378:Q381"/>
    <mergeCell ref="R378:R381"/>
    <mergeCell ref="H379:H380"/>
    <mergeCell ref="C380:C381"/>
    <mergeCell ref="A383:A384"/>
    <mergeCell ref="B383:B384"/>
    <mergeCell ref="C383:C384"/>
    <mergeCell ref="D383:D384"/>
    <mergeCell ref="E383:E384"/>
    <mergeCell ref="F383:F384"/>
    <mergeCell ref="H383:H384"/>
    <mergeCell ref="J383:J384"/>
    <mergeCell ref="K383:K384"/>
    <mergeCell ref="O383:O384"/>
    <mergeCell ref="P383:P384"/>
    <mergeCell ref="Q383:Q384"/>
    <mergeCell ref="R383:R384"/>
    <mergeCell ref="A389:A392"/>
    <mergeCell ref="B389:B392"/>
    <mergeCell ref="C389:C392"/>
    <mergeCell ref="D389:D392"/>
    <mergeCell ref="E389:E392"/>
    <mergeCell ref="F389:F392"/>
    <mergeCell ref="G389:G392"/>
    <mergeCell ref="I389:I392"/>
    <mergeCell ref="J389:J392"/>
    <mergeCell ref="K389:K392"/>
    <mergeCell ref="L389:L392"/>
    <mergeCell ref="M389:M392"/>
    <mergeCell ref="N389:N392"/>
    <mergeCell ref="O389:O392"/>
    <mergeCell ref="P389:P392"/>
    <mergeCell ref="Q389:Q392"/>
    <mergeCell ref="R389:R392"/>
    <mergeCell ref="B393:B394"/>
    <mergeCell ref="C393:C394"/>
    <mergeCell ref="D393:D394"/>
    <mergeCell ref="F393:F394"/>
    <mergeCell ref="G393:G394"/>
    <mergeCell ref="H393:H394"/>
    <mergeCell ref="I393:I394"/>
    <mergeCell ref="J393:J394"/>
    <mergeCell ref="K393:K394"/>
    <mergeCell ref="L393:L394"/>
    <mergeCell ref="M393:M394"/>
    <mergeCell ref="N393:N394"/>
    <mergeCell ref="O393:O394"/>
    <mergeCell ref="P393:P394"/>
    <mergeCell ref="Q393:Q394"/>
    <mergeCell ref="R393:R394"/>
    <mergeCell ref="A395:A397"/>
    <mergeCell ref="B395:B397"/>
    <mergeCell ref="C395:C397"/>
    <mergeCell ref="D395:D397"/>
    <mergeCell ref="E395:E397"/>
    <mergeCell ref="F395:F397"/>
    <mergeCell ref="G395:G397"/>
    <mergeCell ref="H395:H397"/>
    <mergeCell ref="L395:L397"/>
    <mergeCell ref="M395:M397"/>
    <mergeCell ref="N395:N397"/>
    <mergeCell ref="O395:O397"/>
    <mergeCell ref="P395:P397"/>
    <mergeCell ref="Q395:Q397"/>
    <mergeCell ref="R395:R397"/>
    <mergeCell ref="B400:B401"/>
    <mergeCell ref="C400:C401"/>
    <mergeCell ref="D400:D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Q400:Q401"/>
    <mergeCell ref="R400:R401"/>
    <mergeCell ref="A403:A405"/>
    <mergeCell ref="B403:B405"/>
    <mergeCell ref="C403:C405"/>
    <mergeCell ref="D403:D405"/>
    <mergeCell ref="E403:E405"/>
    <mergeCell ref="F403:F405"/>
    <mergeCell ref="G403:G404"/>
    <mergeCell ref="H403:H405"/>
    <mergeCell ref="L403:L404"/>
    <mergeCell ref="M403:M404"/>
    <mergeCell ref="N403:N404"/>
    <mergeCell ref="O403:O405"/>
    <mergeCell ref="P403:P405"/>
    <mergeCell ref="Q403:Q405"/>
    <mergeCell ref="R403:R405"/>
    <mergeCell ref="B406:B408"/>
    <mergeCell ref="C406:C407"/>
    <mergeCell ref="D406:D408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8"/>
    <mergeCell ref="P406:P408"/>
    <mergeCell ref="Q406:Q408"/>
    <mergeCell ref="R406:R408"/>
    <mergeCell ref="A409:A410"/>
    <mergeCell ref="B409:B410"/>
    <mergeCell ref="E409:E410"/>
    <mergeCell ref="F409:F410"/>
    <mergeCell ref="H409:H410"/>
    <mergeCell ref="N409:N410"/>
    <mergeCell ref="O409:O410"/>
    <mergeCell ref="P409:P410"/>
    <mergeCell ref="Q409:Q410"/>
    <mergeCell ref="R409:R410"/>
    <mergeCell ref="C410:D410"/>
    <mergeCell ref="B411:B413"/>
    <mergeCell ref="D411:D413"/>
    <mergeCell ref="F411:F413"/>
    <mergeCell ref="G411:G413"/>
    <mergeCell ref="H411:H413"/>
    <mergeCell ref="I411:I413"/>
    <mergeCell ref="J411:J413"/>
    <mergeCell ref="K411:K413"/>
    <mergeCell ref="L411:L413"/>
    <mergeCell ref="M411:M413"/>
    <mergeCell ref="N411:N413"/>
    <mergeCell ref="O411:O413"/>
    <mergeCell ref="P411:P413"/>
    <mergeCell ref="Q411:Q413"/>
    <mergeCell ref="R411:R413"/>
    <mergeCell ref="A417:A418"/>
    <mergeCell ref="B417:B418"/>
    <mergeCell ref="D417:D418"/>
    <mergeCell ref="E417:E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O417:O418"/>
    <mergeCell ref="P417:P418"/>
    <mergeCell ref="Q417:Q418"/>
    <mergeCell ref="R417:R418"/>
    <mergeCell ref="A421:A422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L421:L422"/>
    <mergeCell ref="M421:N422"/>
    <mergeCell ref="O421:O422"/>
    <mergeCell ref="P421:P422"/>
    <mergeCell ref="Q421:Q422"/>
    <mergeCell ref="R421:R422"/>
    <mergeCell ref="A424:A425"/>
    <mergeCell ref="B424:B425"/>
    <mergeCell ref="C424:C425"/>
    <mergeCell ref="D424:D425"/>
    <mergeCell ref="E424:E425"/>
    <mergeCell ref="F424:F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Q424:Q425"/>
    <mergeCell ref="R424:R42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L426:L427"/>
    <mergeCell ref="M426:M427"/>
    <mergeCell ref="N426:N427"/>
    <mergeCell ref="Q426:Q427"/>
    <mergeCell ref="R426:R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M428:M429"/>
    <mergeCell ref="N428:N429"/>
    <mergeCell ref="O428:O429"/>
    <mergeCell ref="P428:P429"/>
    <mergeCell ref="Q428:Q429"/>
    <mergeCell ref="R428:R429"/>
    <mergeCell ref="A431:A432"/>
    <mergeCell ref="B431:B432"/>
    <mergeCell ref="D431:D432"/>
    <mergeCell ref="E431:E432"/>
    <mergeCell ref="F431:F432"/>
    <mergeCell ref="G431:G432"/>
    <mergeCell ref="H431:H432"/>
    <mergeCell ref="I431:J431"/>
    <mergeCell ref="O431:O432"/>
    <mergeCell ref="P431:P432"/>
    <mergeCell ref="Q431:Q432"/>
    <mergeCell ref="R431:R432"/>
    <mergeCell ref="I432:J432"/>
    <mergeCell ref="A433:A436"/>
    <mergeCell ref="B433:B436"/>
    <mergeCell ref="C433:C434"/>
    <mergeCell ref="D433:D436"/>
    <mergeCell ref="E433:E435"/>
    <mergeCell ref="F433:F436"/>
    <mergeCell ref="G433:G436"/>
    <mergeCell ref="H433:H434"/>
    <mergeCell ref="I433:J434"/>
    <mergeCell ref="K433:K434"/>
    <mergeCell ref="L433:L434"/>
    <mergeCell ref="M433:M435"/>
    <mergeCell ref="N433:N436"/>
    <mergeCell ref="O433:O436"/>
    <mergeCell ref="P433:P436"/>
    <mergeCell ref="Q433:Q436"/>
    <mergeCell ref="R433:R436"/>
    <mergeCell ref="I435:J435"/>
    <mergeCell ref="I436:J436"/>
    <mergeCell ref="M437:N437"/>
    <mergeCell ref="A447:A449"/>
    <mergeCell ref="B447:B449"/>
    <mergeCell ref="C447:C449"/>
    <mergeCell ref="D447:D449"/>
    <mergeCell ref="E447:E449"/>
    <mergeCell ref="F447:F449"/>
    <mergeCell ref="G447:G449"/>
    <mergeCell ref="H447:H449"/>
    <mergeCell ref="I447:I449"/>
    <mergeCell ref="J447:J449"/>
    <mergeCell ref="K447:K449"/>
    <mergeCell ref="M447:M449"/>
    <mergeCell ref="O447:O449"/>
    <mergeCell ref="P447:P449"/>
    <mergeCell ref="Q447:Q449"/>
    <mergeCell ref="R447:R449"/>
    <mergeCell ref="A452:A454"/>
    <mergeCell ref="B452:B454"/>
    <mergeCell ref="C452:C454"/>
    <mergeCell ref="D452:D454"/>
    <mergeCell ref="E452:E454"/>
    <mergeCell ref="G452:G454"/>
    <mergeCell ref="I452:I454"/>
    <mergeCell ref="J452:J454"/>
    <mergeCell ref="K452:K454"/>
    <mergeCell ref="L452:L454"/>
    <mergeCell ref="M452:M454"/>
    <mergeCell ref="N452:N454"/>
    <mergeCell ref="O452:O454"/>
    <mergeCell ref="P452:P454"/>
    <mergeCell ref="Q452:Q454"/>
    <mergeCell ref="R452:R454"/>
    <mergeCell ref="F453:F454"/>
    <mergeCell ref="I459:J459"/>
    <mergeCell ref="A461:A464"/>
    <mergeCell ref="B461:B464"/>
    <mergeCell ref="C461:C464"/>
    <mergeCell ref="D461:D464"/>
    <mergeCell ref="E461:E464"/>
    <mergeCell ref="F461:F464"/>
    <mergeCell ref="G461:G464"/>
    <mergeCell ref="H461:H462"/>
    <mergeCell ref="I461:I464"/>
    <mergeCell ref="J461:J464"/>
    <mergeCell ref="K461:K464"/>
    <mergeCell ref="M461:M463"/>
    <mergeCell ref="N461:N463"/>
    <mergeCell ref="O461:O464"/>
    <mergeCell ref="P461:P464"/>
    <mergeCell ref="Q461:Q464"/>
    <mergeCell ref="R461:R464"/>
    <mergeCell ref="A465:A466"/>
    <mergeCell ref="B465:B466"/>
    <mergeCell ref="D465:D466"/>
    <mergeCell ref="E465:E466"/>
    <mergeCell ref="F465:F466"/>
    <mergeCell ref="G465:G466"/>
    <mergeCell ref="H465:H466"/>
    <mergeCell ref="L465:L466"/>
    <mergeCell ref="M465:M466"/>
    <mergeCell ref="N465:N466"/>
    <mergeCell ref="O465:O466"/>
    <mergeCell ref="P465:P466"/>
    <mergeCell ref="Q465:Q466"/>
    <mergeCell ref="R465:R466"/>
    <mergeCell ref="A467:A470"/>
    <mergeCell ref="B467:B470"/>
    <mergeCell ref="C467:C470"/>
    <mergeCell ref="D467:D470"/>
    <mergeCell ref="E467:E470"/>
    <mergeCell ref="F467:F470"/>
    <mergeCell ref="G467:G470"/>
    <mergeCell ref="H467:H470"/>
    <mergeCell ref="I467:I470"/>
    <mergeCell ref="J467:J470"/>
    <mergeCell ref="K467:K470"/>
    <mergeCell ref="O467:O470"/>
    <mergeCell ref="P467:P470"/>
    <mergeCell ref="Q467:Q470"/>
    <mergeCell ref="R467:R470"/>
    <mergeCell ref="A471:A472"/>
    <mergeCell ref="B471:B472"/>
    <mergeCell ref="D471:D472"/>
    <mergeCell ref="E471:E472"/>
    <mergeCell ref="F471:F472"/>
    <mergeCell ref="G471:G472"/>
    <mergeCell ref="H471:H472"/>
    <mergeCell ref="I471:I472"/>
    <mergeCell ref="J471:J472"/>
    <mergeCell ref="K471:K472"/>
    <mergeCell ref="L471:L472"/>
    <mergeCell ref="M471:M472"/>
    <mergeCell ref="N471:N472"/>
    <mergeCell ref="O471:O472"/>
    <mergeCell ref="P471:P472"/>
    <mergeCell ref="Q471:Q472"/>
    <mergeCell ref="R471:R472"/>
    <mergeCell ref="A475:A477"/>
    <mergeCell ref="B475:B477"/>
    <mergeCell ref="C475:C477"/>
    <mergeCell ref="D475:D477"/>
    <mergeCell ref="E475:E477"/>
    <mergeCell ref="F475:F477"/>
    <mergeCell ref="G475:G477"/>
    <mergeCell ref="I475:I477"/>
    <mergeCell ref="J475:J477"/>
    <mergeCell ref="K475:K477"/>
    <mergeCell ref="L475:L477"/>
    <mergeCell ref="M475:M477"/>
    <mergeCell ref="N475:N477"/>
    <mergeCell ref="O475:O477"/>
    <mergeCell ref="P475:P477"/>
    <mergeCell ref="Q475:Q477"/>
    <mergeCell ref="R475:R477"/>
    <mergeCell ref="A480:A482"/>
    <mergeCell ref="B480:B482"/>
    <mergeCell ref="C480:C482"/>
    <mergeCell ref="D480:D482"/>
    <mergeCell ref="E480:E482"/>
    <mergeCell ref="F480:F482"/>
    <mergeCell ref="G480:G482"/>
    <mergeCell ref="H480:H482"/>
    <mergeCell ref="I480:I482"/>
    <mergeCell ref="J480:J482"/>
    <mergeCell ref="K480:K482"/>
    <mergeCell ref="N480:N482"/>
    <mergeCell ref="O480:O482"/>
    <mergeCell ref="P480:P482"/>
    <mergeCell ref="Q480:Q482"/>
    <mergeCell ref="R480:R482"/>
    <mergeCell ref="M481:M482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I483:I484"/>
    <mergeCell ref="J483:J484"/>
    <mergeCell ref="K483:K484"/>
    <mergeCell ref="L483:L484"/>
    <mergeCell ref="M483:M484"/>
    <mergeCell ref="N483:N484"/>
    <mergeCell ref="O483:O484"/>
    <mergeCell ref="Q483:Q484"/>
    <mergeCell ref="R483:R484"/>
    <mergeCell ref="A490:A495"/>
    <mergeCell ref="B490:B495"/>
    <mergeCell ref="C490:C495"/>
    <mergeCell ref="D490:D495"/>
    <mergeCell ref="E490:E495"/>
    <mergeCell ref="F490:F495"/>
    <mergeCell ref="G490:G495"/>
    <mergeCell ref="H490:H495"/>
    <mergeCell ref="I490:I495"/>
    <mergeCell ref="J490:J495"/>
    <mergeCell ref="K490:K495"/>
    <mergeCell ref="N490:N492"/>
    <mergeCell ref="O490:O495"/>
    <mergeCell ref="P490:P495"/>
    <mergeCell ref="Q490:Q495"/>
    <mergeCell ref="R490:R495"/>
    <mergeCell ref="M491:M492"/>
    <mergeCell ref="M493:M494"/>
    <mergeCell ref="N493:N494"/>
  </mergeCells>
  <hyperlinks>
    <hyperlink ref="A4" r:id="rId1" display="Connect2Car@CES"/>
  </hyperlinks>
  <printOptions/>
  <pageMargins left="0.7000000000000001" right="0.7000000000000001" top="0.75" bottom="0.75" header="0.5118110236220472" footer="0.5118110236220472"/>
  <pageSetup horizontalDpi="300" verticalDpi="300" orientation="portrait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L5"/>
  <sheetViews>
    <sheetView zoomScale="95" zoomScaleNormal="95" workbookViewId="0" topLeftCell="A1">
      <selection activeCell="B18" sqref="B18"/>
    </sheetView>
  </sheetViews>
  <sheetFormatPr defaultColWidth="9.140625" defaultRowHeight="15" customHeight="1"/>
  <cols>
    <col min="1" max="1" width="19.421875" style="425" customWidth="1"/>
    <col min="2" max="2" width="35.421875" style="425" customWidth="1"/>
    <col min="3" max="3" width="23.421875" style="425" customWidth="1"/>
    <col min="4" max="64" width="10.421875" style="426" customWidth="1"/>
    <col min="65" max="16384" width="10.421875" style="0" customWidth="1"/>
  </cols>
  <sheetData>
    <row r="3" spans="1:64" ht="15" customHeight="1">
      <c r="A3" s="427" t="s">
        <v>1337</v>
      </c>
      <c r="B3" s="427" t="s">
        <v>1338</v>
      </c>
      <c r="C3" s="427" t="s">
        <v>1339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</row>
    <row r="4" spans="1:64" ht="15" customHeight="1">
      <c r="A4" s="427" t="s">
        <v>1340</v>
      </c>
      <c r="B4" s="427" t="s">
        <v>1341</v>
      </c>
      <c r="C4" s="427" t="s">
        <v>1342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/>
    </row>
    <row r="5" spans="1:3" ht="15" customHeight="1">
      <c r="A5" s="429" t="s">
        <v>1343</v>
      </c>
      <c r="B5" s="429" t="s">
        <v>1344</v>
      </c>
      <c r="C5" s="429" t="s">
        <v>1345</v>
      </c>
    </row>
  </sheetData>
  <sheetProtection selectLockedCells="1" selectUnlockedCells="1"/>
  <hyperlinks>
    <hyperlink ref="A5" r:id="rId1" display="Events &amp; Expositions"/>
    <hyperlink ref="B5" r:id="rId2" display="Upcoming Events"/>
    <hyperlink ref="C5" r:id="rId3" display="List of upcoming events"/>
  </hyperlinks>
  <printOptions/>
  <pageMargins left="0.7875" right="0.7875" top="0.7875" bottom="0.78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2021-12-10T18:29:56Z</dcterms:modified>
  <cp:category/>
  <cp:version/>
  <cp:contentType/>
  <cp:contentStatus/>
  <cp:revision>7226</cp:revision>
</cp:coreProperties>
</file>