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eta-Data" sheetId="1" r:id="rId1"/>
    <sheet name="Schedule" sheetId="2" r:id="rId2"/>
    <sheet name="Links to this Spreadhseet's Web" sheetId="3" r:id="rId3"/>
  </sheets>
  <definedNames>
    <definedName name="a128A195">NA()</definedName>
    <definedName name="A1360r1360">NA()</definedName>
    <definedName name="a17A86">NA()</definedName>
    <definedName name="A617q621">NA()</definedName>
    <definedName name="A708qE709">NA()</definedName>
    <definedName name="A754q757">NA()</definedName>
    <definedName name="A808qE808">NA()</definedName>
    <definedName name="A814q814">NA()</definedName>
    <definedName name="A894Q895">NA()</definedName>
    <definedName name="ADAS">'Meta-Data'!#REF!</definedName>
    <definedName name="AltCarExpoSanMon">'Meta-Data'!#REF!</definedName>
    <definedName name="b1322G1404">NA()</definedName>
    <definedName name="b2264B493">NA()</definedName>
    <definedName name="b987B1038">NA()</definedName>
    <definedName name="d34i8D409">NA()</definedName>
    <definedName name="q">NA()</definedName>
    <definedName name="WTC">NA()</definedName>
    <definedName name="a17A86" localSheetId="1">NA()</definedName>
    <definedName name="A617q621" localSheetId="1">NA()</definedName>
    <definedName name="A708qE709" localSheetId="1">NA()</definedName>
    <definedName name="A754q757" localSheetId="1">NA()</definedName>
    <definedName name="A808qE808" localSheetId="1">'Schedule'!$A$65:$E$65</definedName>
    <definedName name="A814q814" localSheetId="1">'Schedule'!$A$179</definedName>
    <definedName name="A894Q895" localSheetId="1">'Schedule'!$A$240</definedName>
    <definedName name="b2264B493" localSheetId="1">NA()</definedName>
    <definedName name="b987B1038" localSheetId="1">'Schedule'!$B$256</definedName>
    <definedName name="d34i8D409" localSheetId="1">NA()</definedName>
    <definedName name="q" localSheetId="1">'Schedule'!$G$138:$I$138</definedName>
    <definedName name="WTC" localSheetId="1">'Schedule'!$A$174</definedName>
  </definedNames>
  <calcPr fullCalcOnLoad="1"/>
</workbook>
</file>

<file path=xl/comments1.xml><?xml version="1.0" encoding="utf-8"?>
<comments xmlns="http://schemas.openxmlformats.org/spreadsheetml/2006/main">
  <authors>
    <author>JZL</author>
  </authors>
  <commentList>
    <comment ref="C5" authorId="0">
      <text>
        <r>
          <rPr>
            <sz val="11"/>
            <color indexed="8"/>
            <rFont val="Calibri"/>
            <family val="2"/>
          </rPr>
          <t>. . . from old version of same event.</t>
        </r>
      </text>
    </comment>
  </commentList>
</comments>
</file>

<file path=xl/comments2.xml><?xml version="1.0" encoding="utf-8"?>
<comments xmlns="http://schemas.openxmlformats.org/spreadsheetml/2006/main">
  <authors>
    <author>JZL</author>
  </authors>
  <commentList>
    <comment ref="Q2" authorId="0">
      <text>
        <r>
          <rPr>
            <sz val="11"/>
            <color indexed="8"/>
            <rFont val="Calibri"/>
            <family val="2"/>
          </rPr>
          <t xml:space="preserve">“not-appr” means not germain to EV
</t>
        </r>
      </text>
    </comment>
  </commentList>
</comments>
</file>

<file path=xl/sharedStrings.xml><?xml version="1.0" encoding="utf-8"?>
<sst xmlns="http://schemas.openxmlformats.org/spreadsheetml/2006/main" count="2562" uniqueCount="1617">
  <si>
    <t>Updated</t>
  </si>
  <si>
    <t>In the Past</t>
  </si>
  <si>
    <t>Light Gray 5</t>
  </si>
  <si>
    <t>Not in pages</t>
  </si>
  <si>
    <t>Light Gray 3</t>
  </si>
  <si>
    <t>Pending</t>
  </si>
  <si>
    <t>Light Yellow 3</t>
  </si>
  <si>
    <t>© 2016-2019</t>
  </si>
  <si>
    <t>Copied</t>
  </si>
  <si>
    <t>Light Yellow 2</t>
  </si>
  <si>
    <t>Joshua Zev Levin, Ph.D.</t>
  </si>
  <si>
    <t>Done</t>
  </si>
  <si>
    <t>255, 255, 56</t>
  </si>
  <si>
    <t>FFFF38</t>
  </si>
  <si>
    <t>Light Yellow 1</t>
  </si>
  <si>
    <t>Both (old)</t>
  </si>
  <si>
    <t>255, 233, 148</t>
  </si>
  <si>
    <t>FF2000</t>
  </si>
  <si>
    <t>Light Gold 2</t>
  </si>
  <si>
    <t>Fraud</t>
  </si>
  <si>
    <t>custom</t>
  </si>
  <si>
    <t>Future</t>
  </si>
  <si>
    <t>71, 255, 71</t>
  </si>
  <si>
    <t>47FF47</t>
  </si>
  <si>
    <t>'</t>
  </si>
  <si>
    <t>SAE/JSAE 2014 Small Engine Technology Conference &amp; Exhibition</t>
  </si>
  <si>
    <t>Green cells are not yet finalized and links may be wrong</t>
  </si>
  <si>
    <t>Contact</t>
  </si>
  <si>
    <t>Call for papers / Exhibitors' Information / Colocated Events</t>
  </si>
  <si>
    <t>earliest due date</t>
  </si>
  <si>
    <t>Source</t>
  </si>
  <si>
    <t>On LeviCar .com?</t>
  </si>
  <si>
    <t>Name</t>
  </si>
  <si>
    <t>Frag Tag</t>
  </si>
  <si>
    <t>Main page URL</t>
  </si>
  <si>
    <t>Location</t>
  </si>
  <si>
    <r>
      <rPr>
        <b/>
        <sz val="11"/>
        <color indexed="8"/>
        <rFont val="Calibri"/>
        <family val="2"/>
      </rPr>
      <t>Date</t>
    </r>
    <r>
      <rPr>
        <sz val="11"/>
        <color indexed="8"/>
        <rFont val="Calibri"/>
        <family val="2"/>
      </rPr>
      <t>(s)</t>
    </r>
  </si>
  <si>
    <t>Graphic</t>
  </si>
  <si>
    <t>Catch Phrase</t>
  </si>
  <si>
    <r>
      <rPr>
        <b/>
        <sz val="11"/>
        <color indexed="8"/>
        <rFont val="Calibri"/>
        <family val="2"/>
      </rPr>
      <t>Webinar People</t>
    </r>
    <r>
      <rPr>
        <sz val="11"/>
        <color indexed="8"/>
        <rFont val="Calibri"/>
        <family val="2"/>
      </rPr>
      <t xml:space="preserve"> or </t>
    </r>
    <r>
      <rPr>
        <b/>
        <sz val="11"/>
        <color indexed="8"/>
        <rFont val="Calibri"/>
        <family val="2"/>
      </rPr>
      <t>Instructor</t>
    </r>
  </si>
  <si>
    <t>phone</t>
  </si>
  <si>
    <t>Email / Contacts Page</t>
  </si>
  <si>
    <t>Instructions URL</t>
  </si>
  <si>
    <t>Submission URL / email</t>
  </si>
  <si>
    <t>From</t>
  </si>
  <si>
    <t>URL</t>
  </si>
  <si>
    <t>Type</t>
  </si>
  <si>
    <t>2019 SAE Connect2Car</t>
  </si>
  <si>
    <t>Connect2Car</t>
  </si>
  <si>
    <t>Las Vegas, NV</t>
  </si>
  <si>
    <t>2019/01/08</t>
  </si>
  <si>
    <t>CES_Logo.png   238 x 140</t>
  </si>
  <si>
    <t>&amp;hellip; at the CES&amp;reg; (formerly known as the Consumer Electronics Show).</t>
  </si>
  <si>
    <t>SAE</t>
  </si>
  <si>
    <t>Public / Prof.</t>
  </si>
  <si>
    <t>Yes</t>
  </si>
  <si>
    <t>Transportation Camp Unconference</t>
  </si>
  <si>
    <t>TransportationCamp</t>
  </si>
  <si>
    <t>http://transportationcamp.org/events/dc2019</t>
  </si>
  <si>
    <t>(DC) Washington, DC</t>
  </si>
  <si>
    <t>2019/01/12</t>
  </si>
  <si>
    <t>Transp-Camp.png      626 x 203</t>
  </si>
  <si>
    <t>Held on the Saturday before Transportation Research Board Annual Meeting &amp;hellip;</t>
  </si>
  <si>
    <t>YES</t>
  </si>
  <si>
    <t>Transportation Research Board 98&lt;sup&gt;th&lt;/sup&gt; Annual Meeting</t>
  </si>
  <si>
    <t>TRB-AM</t>
  </si>
  <si>
    <t>Washington, DC</t>
  </si>
  <si>
    <t>2019/01/13 – 17</t>
  </si>
  <si>
    <t>TRB-Meeting-2019.png    300 x 96</t>
  </si>
  <si>
    <t>&amp;hellip; will cover all transportation modes &amp;hellip;</t>
  </si>
  <si>
    <t>2018/08/01</t>
  </si>
  <si>
    <t>Transportation Research Board (TRB)</t>
  </si>
  <si>
    <t>Prof.</t>
  </si>
  <si>
    <t>No</t>
  </si>
  <si>
    <t>SAE CEU Course:  Fuel Cells for Transportation</t>
  </si>
  <si>
    <t>C1868-19-1</t>
  </si>
  <si>
    <t>Troy, MI</t>
  </si>
  <si>
    <t>2019/01/15 – 17</t>
  </si>
  <si>
    <t>John-Elter-Bin-Du.png          183 x 122</t>
  </si>
  <si>
    <t>&amp;hellip for engineers and particularly engineering managers who want to jump‐start their understanding of [fuel cells].</t>
  </si>
  <si>
    <t>Full Fee:  $800  –  membership and multi-course discounts available</t>
  </si>
  <si>
    <t>1.8 CEUs</t>
  </si>
  <si>
    <t>Instructor:  Dr. John F. Elter</t>
  </si>
  <si>
    <t>SAE Learning Center</t>
  </si>
  <si>
    <t>Instructor:  Dr. Bin Du</t>
  </si>
  <si>
    <t>SAE Connected and Automated Vehicle Conference &amp;ndash; Israel</t>
  </si>
  <si>
    <t>ICAV</t>
  </si>
  <si>
    <t>Tel Aviv, Israel</t>
  </si>
  <si>
    <t>2019/01/16 – 17</t>
  </si>
  <si>
    <t>ICAV.png      116 x 75</t>
  </si>
  <si>
    <t>Israel has become a major hub for automotive innovation.</t>
  </si>
  <si>
    <t>https://www.sae.org/attend/</t>
  </si>
  <si>
    <t xml:space="preserve">PlugVolt Webinar:  Finding Your Place as the Industry Doubles Down on Electrified Vehicles </t>
  </si>
  <si>
    <t>YourPlace</t>
  </si>
  <si>
    <t>2019/01/16 10:00 – 11:00 EST</t>
  </si>
  <si>
    <t>Alan-Baum.png       97 x 127</t>
  </si>
  <si>
    <t xml:space="preserve"> A raft of new [electric] vehicles is arriving in 2019.</t>
  </si>
  <si>
    <r>
      <rPr>
        <b/>
        <sz val="11"/>
        <color indexed="8"/>
        <rFont val="Calibri"/>
        <family val="2"/>
      </rPr>
      <t>Alan Baum</t>
    </r>
    <r>
      <rPr>
        <sz val="11"/>
        <color indexed="8"/>
        <rFont val="Calibri"/>
        <family val="2"/>
      </rPr>
      <t>,  Principal, Baum &amp; Associates</t>
    </r>
  </si>
  <si>
    <t>Fee:  $99</t>
  </si>
  <si>
    <t>PlugVolt</t>
  </si>
  <si>
    <t>Recorded webinars</t>
  </si>
  <si>
    <t>Webinar:  Drive Electric Earth Day: How To Participate</t>
  </si>
  <si>
    <t>2019/01/22  14:00 – 15:00 EST</t>
  </si>
  <si>
    <t>DriveElectric.png     222 x 55</t>
  </si>
  <si>
    <t>You will learn more about how EVs can become a part of your community&amp;rsquo;s Earth Day celebration.</t>
  </si>
  <si>
    <t>Mandatory Free Registration:</t>
  </si>
  <si>
    <t>Plug-In America</t>
  </si>
  <si>
    <t>http://www.pluginamerica.org</t>
  </si>
  <si>
    <t>Public</t>
  </si>
  <si>
    <t>LeviCar only</t>
  </si>
  <si>
    <t>aabc-E</t>
  </si>
  <si>
    <t>Strasbourg, France</t>
  </si>
  <si>
    <t>2019/01/27 – 31</t>
  </si>
  <si>
    <t>2018/07/20</t>
  </si>
  <si>
    <t>EV World</t>
  </si>
  <si>
    <t>ASAP; final 2018/12/14</t>
  </si>
  <si>
    <t>Series page:</t>
  </si>
  <si>
    <t>http://www.advancedautobat.com/</t>
  </si>
  <si>
    <t>IEEE-PELS Free Webinar: Current-fed Isolated Modular Multilevel DC-DC Converter (iM2DC) for MVDC Applications</t>
  </si>
  <si>
    <t>IM2DC</t>
  </si>
  <si>
    <t>2019/01/30  14:00 – 15:00</t>
  </si>
  <si>
    <t>HUI_HELEN_LI.png                  90 x 132</t>
  </si>
  <si>
    <t>Compared to the voltage-fed counterparts, the current-fed iM2DCs have unique advantages due to their superior current control and fault performance.</t>
  </si>
  <si>
    <r>
      <rPr>
        <b/>
        <sz val="11"/>
        <color indexed="8"/>
        <rFont val="Calibri"/>
        <family val="2"/>
      </rPr>
      <t>Dr. Hui (Helen) Li</t>
    </r>
    <r>
      <rPr>
        <sz val="11"/>
        <color indexed="8"/>
        <rFont val="Calibri"/>
        <family val="2"/>
      </rPr>
      <t>, Professor of ECE, Florida State</t>
    </r>
  </si>
  <si>
    <t>IEEE Power Electronics Society (PELS)</t>
  </si>
  <si>
    <t>SAE Webinar:  Automated and Connected Commercial Vehicles: Next Steps for &amp;lsquo;Hands-Off&amp;rsquo; Operation</t>
  </si>
  <si>
    <t>Hands-Off</t>
  </si>
  <si>
    <t>2109/02/07 12:00 – 13:00</t>
  </si>
  <si>
    <t>Woodard-Allen-Luetzner-Arrigo.png    325 x 122</t>
  </si>
  <si>
    <t>&amp;hellip; explores how we get from advanced driver-assistance systems and wireless connectivity, &amp;hellip;, to the “holy grail” of Level 5 autonomous vehicles.</t>
  </si>
  <si>
    <t>Chris Woodard, Danfoss Power Solutions</t>
  </si>
  <si>
    <t xml:space="preserve">SAE Webcasts </t>
  </si>
  <si>
    <t>https://www.sae.org/webcasts</t>
  </si>
  <si>
    <t>Jace Allen, dSPACE Inc.</t>
  </si>
  <si>
    <t>Woodard-Allen-Arrigo.png   237 x 122</t>
  </si>
  <si>
    <r>
      <rPr>
        <b/>
        <sz val="11"/>
        <rFont val="Calibri"/>
        <family val="2"/>
      </rPr>
      <t>Joerg Luetzner,</t>
    </r>
    <r>
      <rPr>
        <sz val="11"/>
        <rFont val="Calibri"/>
        <family val="2"/>
      </rPr>
      <t xml:space="preserve"> Head Of Commercial Vehicles, Systems &amp; Technology Department, Continental AG</t>
    </r>
  </si>
  <si>
    <r>
      <rPr>
        <sz val="11"/>
        <rFont val="Calibri"/>
        <family val="2"/>
      </rPr>
      <t>Moderator:</t>
    </r>
    <r>
      <rPr>
        <b/>
        <sz val="11"/>
        <rFont val="Calibri"/>
        <family val="2"/>
      </rPr>
      <t xml:space="preserve">  Lisa Arrigo</t>
    </r>
  </si>
  <si>
    <t>SAE CEU Course:  High Voltage Vehicle Safety Systems and Personal Protective Equipment (PPE)</t>
  </si>
  <si>
    <t>C1732-19-2</t>
  </si>
  <si>
    <t>Garden Grove, CA</t>
  </si>
  <si>
    <t>2019/02/18</t>
  </si>
  <si>
    <t>Mark-Quarto.png  136 x 165</t>
  </si>
  <si>
    <t>High voltage vehicle safety is a primary concern for [anyone] involved in developing, diagnosing or repairing hybrid or electric vehicles.</t>
  </si>
  <si>
    <t>`</t>
  </si>
  <si>
    <t>0.7 CEUs</t>
  </si>
  <si>
    <t>SAE 2019 Hybrid and Electric Vehicle Technologies Symposium</t>
  </si>
  <si>
    <t>HybridEV</t>
  </si>
  <si>
    <t>San Diego-Mission Valley, CA</t>
  </si>
  <si>
    <t>2019/02/18 – 20</t>
  </si>
  <si>
    <t>SAE-hybridev.png     233 x 186</t>
  </si>
  <si>
    <t>SAE 2019 Hybrid &amp; Electric Vehicle Technologies Symposium (HVTS)</t>
  </si>
  <si>
    <t>HVTS</t>
  </si>
  <si>
    <t>Anaheim Garden Grove, CA</t>
  </si>
  <si>
    <t>2019/02/19 – 21</t>
  </si>
  <si>
    <t>HVTS.png    187 x 104</t>
  </si>
  <si>
    <t>&amp;hellip; discuss the latest technology, applications, and overall development challenges for electric and hybrid-electric vehicles &amp;hellip;</t>
  </si>
  <si>
    <t>SAE Free Webinar:&amp;nbsp; Electric Drive Noise and Vibration Analysis</t>
  </si>
  <si>
    <t>Dassault-NVH</t>
  </si>
  <si>
    <t>2019/02/20</t>
  </si>
  <si>
    <t>Reimer-Arrigo.png   170 x 115</t>
  </si>
  <si>
    <t>Electric machines and gearboxes can produce tonal noises that are perceived as unpleasant.</t>
  </si>
  <si>
    <r>
      <rPr>
        <b/>
        <sz val="11"/>
        <rFont val="Calibri"/>
        <family val="2"/>
      </rPr>
      <t>Thomas Reimer</t>
    </r>
    <r>
      <rPr>
        <sz val="11"/>
        <rFont val="Calibri"/>
        <family val="2"/>
      </rPr>
      <t>, SIMULIA Industry Solutions Manager, Dassault Syst&amp;egrave;mes</t>
    </r>
  </si>
  <si>
    <t>SBIR/STTR Workshop focused on proposal development for NIH &amp; DOD</t>
  </si>
  <si>
    <t>Groton, CT</t>
  </si>
  <si>
    <t>2019/02/25        09:00 – 16:00 (NIH)</t>
  </si>
  <si>
    <t>CTNext.png   200 x 200</t>
  </si>
  <si>
    <t>&amp;hellip; intensive, two-day SBIR/STTR workshop focused on proposal development for NIH and DOD.</t>
  </si>
  <si>
    <t>Jerry Hollister</t>
  </si>
  <si>
    <t>2019/02/26        09:00 – 16:00 (DoD)</t>
  </si>
  <si>
    <t>IEEE-TEC Online Community Tutorials:  Session 1: Smart Power Electronics Based Active Battery Energy Management Systems for Electric Transportation</t>
  </si>
  <si>
    <t>SmartPower</t>
  </si>
  <si>
    <t>2019/02/25  14:00 – 15:30  EST</t>
  </si>
  <si>
    <t>Sheldon-S-Williamson.png    78 x 120</t>
  </si>
  <si>
    <t>&amp;hellip; imperative to &amp;hellip; manage energy production and usage accurately &amp;hellip;</t>
  </si>
  <si>
    <r>
      <rPr>
        <b/>
        <sz val="11"/>
        <color indexed="8"/>
        <rFont val="Calibri"/>
        <family val="2"/>
      </rPr>
      <t>Sheldon S. Williamson</t>
    </r>
    <r>
      <rPr>
        <sz val="11"/>
        <color indexed="8"/>
        <rFont val="Calibri"/>
        <family val="2"/>
      </rPr>
      <t>, Professor, University of Ontario-Institute of Technology (UOIT)</t>
    </r>
  </si>
  <si>
    <t>Cost:  $25</t>
  </si>
  <si>
    <t>IEEE Transportation Electrification Tutorials and Webinars on IEEE.tv</t>
  </si>
  <si>
    <t>IEEE-TEC Free Webinar:  120 kW High-Power Wireless Charging System Development</t>
  </si>
  <si>
    <t>HP-Wireless</t>
  </si>
  <si>
    <t>2019/02/26  13:00 – 14:30</t>
  </si>
  <si>
    <t>Veda-Pries-Onar.png     258 x 120</t>
  </si>
  <si>
    <t>&amp;hellip; innovative ideas to solve the future charging infrastructure problem.</t>
  </si>
  <si>
    <r>
      <rPr>
        <b/>
        <sz val="11"/>
        <rFont val="Calibri"/>
        <family val="2"/>
      </rPr>
      <t>Veda Galigekere</t>
    </r>
    <r>
      <rPr>
        <sz val="11"/>
        <rFont val="Calibri"/>
        <family val="2"/>
      </rPr>
      <t>, Development Staff Member, Oak Ridge National Laboratory</t>
    </r>
  </si>
  <si>
    <t>IEEE Transportation Electrification Webinars</t>
  </si>
  <si>
    <r>
      <rPr>
        <b/>
        <sz val="11"/>
        <rFont val="Calibri"/>
        <family val="2"/>
      </rPr>
      <t>Jason Pries</t>
    </r>
    <r>
      <rPr>
        <sz val="11"/>
        <rFont val="Calibri"/>
        <family val="2"/>
      </rPr>
      <t>, Research and Development Assoc., Oak Ridge National Laboratory</t>
    </r>
  </si>
  <si>
    <r>
      <rPr>
        <b/>
        <sz val="11"/>
        <rFont val="Calibri"/>
        <family val="2"/>
      </rPr>
      <t>Omer C. Onar</t>
    </r>
    <r>
      <rPr>
        <sz val="11"/>
        <rFont val="Calibri"/>
        <family val="2"/>
      </rPr>
      <t>, Power Electronics and Electric Machinery Group, Oak Ridge National Laboratory</t>
    </r>
  </si>
  <si>
    <t>SAE Free Webinar:&amp;nbsp; Solutions for Digital Battery Engineering</t>
  </si>
  <si>
    <t>Dassault-DBE</t>
  </si>
  <si>
    <t>2019/02/27  10:00 – 10:30 EST</t>
  </si>
  <si>
    <t>Letailleur-Hahn-Arrigo.png   235 x 109</t>
  </si>
  <si>
    <t>Batteries are the new fuel tanks in electric vehicles (Evs).&amp;nbsp; However, they are highly complex systems &amp;hellip;</t>
  </si>
  <si>
    <r>
      <rPr>
        <b/>
        <sz val="11"/>
        <rFont val="Calibri"/>
        <family val="2"/>
      </rPr>
      <t>Fabien Letailleur</t>
    </r>
    <r>
      <rPr>
        <sz val="11"/>
        <rFont val="Calibri"/>
        <family val="2"/>
      </rPr>
      <t>, Senior Manager, Transportation &amp; Mobility Initiatives, Dassault Syst&amp;egrave;mes</t>
    </r>
  </si>
  <si>
    <r>
      <rPr>
        <b/>
        <sz val="11"/>
        <rFont val="Calibri"/>
        <family val="2"/>
      </rPr>
      <t>Youngwon Hahn</t>
    </r>
    <r>
      <rPr>
        <sz val="11"/>
        <rFont val="Calibri"/>
        <family val="2"/>
      </rPr>
      <t>, Senior Industry Solutions Manager, Dassault Syst&amp;egrave;mes</t>
    </r>
  </si>
  <si>
    <t>Moderator:  Lisa Arrigo</t>
  </si>
  <si>
    <t>DoT Free Webinar:  Pre-Offer Instructional Webinar for U.S. DOT&amp;rsquo;s SBIR (Small-Business Innovative Research) FY 2019 solicitation</t>
  </si>
  <si>
    <t>Pre-Offer</t>
  </si>
  <si>
    <t>2019/02/27  13:30 – 14:30 EST</t>
  </si>
  <si>
    <t>DoT-SBIR.png     123 x 122</t>
  </si>
  <si>
    <t>Instructional Webinar on how to Apply to DoT&amp;rsquo;s SBIR (Small-Business Innovative Research) FY 2019 solicitation</t>
  </si>
  <si>
    <t>Tower to the People Film Screening Director &amp;bull; Q&amp;A &amp;bull; Catered Reception</t>
  </si>
  <si>
    <t>Tower2People</t>
  </si>
  <si>
    <t>Huntington, NY</t>
  </si>
  <si>
    <t>2019/02/28  19:00 – 21:30  EST</t>
  </si>
  <si>
    <t>TowerFilm-Header.png    164 x 113</t>
  </si>
  <si>
    <t>&amp;hellip; join us for this global event where &amp;hellip; Tesla fans from around the world can share in an interesting and inspiring experience.</t>
  </si>
  <si>
    <t>Adults:  $20</t>
  </si>
  <si>
    <t>Movie (rent or purchase):  https://vimeo.com/ondemand/nikolatesla</t>
  </si>
  <si>
    <t>Family</t>
  </si>
  <si>
    <t>$35 / year</t>
  </si>
  <si>
    <t>Tesla Science Center at Wardenclyffe</t>
  </si>
  <si>
    <t>Seniors / Students:  $18</t>
  </si>
  <si>
    <t>Individual</t>
  </si>
  <si>
    <t>$25 / year</t>
  </si>
  <si>
    <t>Members:  $15</t>
  </si>
  <si>
    <t>Student / Senior</t>
  </si>
  <si>
    <t>$15 / year</t>
  </si>
  <si>
    <t>Q&amp;A section as webcast only</t>
  </si>
  <si>
    <t>2019/02/28  20:30 – 21:30 EST</t>
  </si>
  <si>
    <t>Non-Members:  $10</t>
  </si>
  <si>
    <t>Corporate</t>
  </si>
  <si>
    <t>$300 / year</t>
  </si>
  <si>
    <t>Members:  Free</t>
  </si>
  <si>
    <t>IEEE-TEC Online Community Tutorials:  Session 2: Novel Power Converters for DC Fast Charging</t>
  </si>
  <si>
    <t>NovelPower</t>
  </si>
  <si>
    <t>2019/03/04  14:00 – 15:30  EST</t>
  </si>
  <si>
    <t>&amp;hellip; review presently available level 3 DC fast charging systems [and] infrastructure.</t>
  </si>
  <si>
    <t>SAE Free Webinar:&amp;nbsp; Design and Simulation of an Inverter Power Module for Electric Vehicles</t>
  </si>
  <si>
    <t>Dassault-Inverter</t>
  </si>
  <si>
    <t>2019/03/05  10:00 – 10:30 EST</t>
  </si>
  <si>
    <t>Letailleur-Gundu-Arrigo.png    235 x 105</t>
  </si>
  <si>
    <t>The high voltage and current ratings [of] power electronics &amp;hellip;, together with fast switching speeds, pose significant design challenges &amp;hellip;</t>
  </si>
  <si>
    <r>
      <rPr>
        <b/>
        <sz val="11"/>
        <rFont val="Calibri"/>
        <family val="2"/>
      </rPr>
      <t>Krishna Gundu</t>
    </r>
    <r>
      <rPr>
        <sz val="11"/>
        <rFont val="Calibri"/>
        <family val="2"/>
      </rPr>
      <t>, Senior Industry Solutions Manager, Dassault Syst&amp;egrave;mes</t>
    </r>
  </si>
  <si>
    <t>SAE CEU Course:  LIDAR and Infrared Cameras for ADAS and Autonomous Sensing</t>
  </si>
  <si>
    <t>C1896-19-3</t>
  </si>
  <si>
    <t>2019/03/05 – 06</t>
  </si>
  <si>
    <t>Rajeev-Thakur.png    105 x 158</t>
  </si>
  <si>
    <t>LIDAR and Infrared camera sensing are seeing a rapid growth &amp;hellip;  sensor requirements and system architecture options continue to evolve almost every six months.</t>
  </si>
  <si>
    <t>Full Fee:  $1,415</t>
  </si>
  <si>
    <t>1.3 CEUs</t>
  </si>
  <si>
    <t>IEEE-TEC Online Community Tutorials:  Session 3: Integrated PV/Smart-grid Based Charging Applications</t>
  </si>
  <si>
    <t>IntegCharging</t>
  </si>
  <si>
    <t>2019/03/11  14:00 – 15:30  EDT</t>
  </si>
  <si>
    <t>&amp;hellip; introduce both home and public charging interface designs &amp;hellip;</t>
  </si>
  <si>
    <t>SAE Free Webinar:  Advances for Autonomous-Vehicle Sensing</t>
  </si>
  <si>
    <t>Auton-Sensing</t>
  </si>
  <si>
    <t>2019/03/14  12:00 – 13:00</t>
  </si>
  <si>
    <t>Auton-Sensing-horiz.png    175 x 63</t>
  </si>
  <si>
    <t>&amp;hellip; explores the latest advances in Lidar, radar, and camera-vision systems &amp;hellip;</t>
  </si>
  <si>
    <t>Joel Gibson, Executive Vice President, Automotive Business Development, Swift Navigation</t>
  </si>
  <si>
    <t>Matthieu Worm, Program Lead Autonomous Driving, Siemens PLM</t>
  </si>
  <si>
    <t>Auton-Sensing.png  87 x 127</t>
  </si>
  <si>
    <r>
      <rPr>
        <b/>
        <sz val="11"/>
        <rFont val="Calibri"/>
        <family val="2"/>
      </rPr>
      <t>Aravind Ratnam</t>
    </r>
    <r>
      <rPr>
        <sz val="11"/>
        <rFont val="Calibri"/>
        <family val="2"/>
      </rPr>
      <t>, VP of Product Management, AEye</t>
    </r>
  </si>
  <si>
    <t>Planet Electric &amp;ndash; Nordic EV Summit</t>
  </si>
  <si>
    <t>Nordic</t>
  </si>
  <si>
    <t>Oslo, Norway</t>
  </si>
  <si>
    <t>2019/03/21 – 22</t>
  </si>
  <si>
    <t>Nordic-EV.png    111 x 161</t>
  </si>
  <si>
    <t>&amp;hellip; takes on a global perspective &amp;hellip;</t>
  </si>
  <si>
    <t>The European Association for Electromobility</t>
  </si>
  <si>
    <t>http://avere.org/</t>
  </si>
  <si>
    <t>TRB Free Webinar: Four Databases with a Common Goal: Promoting Transportation Research</t>
  </si>
  <si>
    <t>4-Databases</t>
  </si>
  <si>
    <t>2019/03/21  13:00 – 14:30 EDT</t>
  </si>
  <si>
    <t>TRISandLibraryLogo.png     171 x 75</t>
  </si>
  <si>
    <t>&amp;hellip;  highlight four transportation research tools:  RiP; DoT&amp;rsquo;s Research Hub; ROSA-P; and TRID</t>
  </si>
  <si>
    <r>
      <rPr>
        <sz val="11"/>
        <rFont val="Calibri"/>
        <family val="2"/>
      </rPr>
      <t xml:space="preserve">Presenter:  </t>
    </r>
    <r>
      <rPr>
        <b/>
        <sz val="11"/>
        <rFont val="Calibri"/>
        <family val="2"/>
      </rPr>
      <t>Janet Daly</t>
    </r>
    <r>
      <rPr>
        <sz val="11"/>
        <rFont val="Calibri"/>
        <family val="2"/>
      </rPr>
      <t>, TRB</t>
    </r>
  </si>
  <si>
    <t>Reggie Gillum</t>
  </si>
  <si>
    <t>http://www.trb.org/Calendar/Calendar.aspx</t>
  </si>
  <si>
    <r>
      <rPr>
        <sz val="11"/>
        <rFont val="Calibri"/>
        <family val="2"/>
      </rPr>
      <t xml:space="preserve">Speaker:  </t>
    </r>
    <r>
      <rPr>
        <b/>
        <sz val="11"/>
        <rFont val="Calibri"/>
        <family val="2"/>
      </rPr>
      <t>Mary Moulton</t>
    </r>
    <r>
      <rPr>
        <sz val="11"/>
        <rFont val="Calibri"/>
        <family val="2"/>
      </rPr>
      <t>, USDOT</t>
    </r>
  </si>
  <si>
    <r>
      <rPr>
        <sz val="11"/>
        <rFont val="Calibri"/>
        <family val="2"/>
      </rPr>
      <t xml:space="preserve">Speaker:  </t>
    </r>
    <r>
      <rPr>
        <b/>
        <sz val="11"/>
        <rFont val="Calibri"/>
        <family val="2"/>
      </rPr>
      <t>Beyan Johnson</t>
    </r>
    <r>
      <rPr>
        <sz val="11"/>
        <rFont val="Calibri"/>
        <family val="2"/>
      </rPr>
      <t>, USDOT</t>
    </r>
  </si>
  <si>
    <r>
      <rPr>
        <sz val="11"/>
        <rFont val="Calibri"/>
        <family val="2"/>
      </rPr>
      <t xml:space="preserve">Speaker:  </t>
    </r>
    <r>
      <rPr>
        <b/>
        <sz val="11"/>
        <rFont val="Calibri"/>
        <family val="2"/>
      </rPr>
      <t>Bill McLeod</t>
    </r>
    <r>
      <rPr>
        <sz val="11"/>
        <rFont val="Calibri"/>
        <family val="2"/>
      </rPr>
      <t>, TRB</t>
    </r>
  </si>
  <si>
    <r>
      <rPr>
        <sz val="11"/>
        <rFont val="Calibri"/>
        <family val="2"/>
      </rPr>
      <t xml:space="preserve">Moderator: </t>
    </r>
    <r>
      <rPr>
        <b/>
        <sz val="11"/>
        <rFont val="Calibri"/>
        <family val="2"/>
      </rPr>
      <t xml:space="preserve"> Elaine Ferrell</t>
    </r>
    <r>
      <rPr>
        <sz val="11"/>
        <rFont val="Calibri"/>
        <family val="2"/>
      </rPr>
      <t>, TRB</t>
    </r>
  </si>
  <si>
    <t>IEEE-TEC Online Community Tutorials:  Session 4: High-Efficiency, Wireless Fast Charging Concepts and Methodologies</t>
  </si>
  <si>
    <t>FastCharging</t>
  </si>
  <si>
    <t>2019/03/25  14:00 – 15:30  EDT</t>
  </si>
  <si>
    <t>&amp;hellip; introducing advanced power electronics solutions for rapid charging using wireless power transfer.</t>
  </si>
  <si>
    <t>Smart Cities and Mobility Forum</t>
  </si>
  <si>
    <t>Sofia</t>
  </si>
  <si>
    <t>Sofia, Bulgaria</t>
  </si>
  <si>
    <t>2019/03/26</t>
  </si>
  <si>
    <t>Baeps.png    298 x 335</t>
  </si>
  <si>
    <t>NCE-FastEvNet &amp;ndash; Final Action Conference</t>
  </si>
  <si>
    <t>greenway-FastEvNet</t>
  </si>
  <si>
    <t>Brussels, Belgium</t>
  </si>
  <si>
    <t>2019/03/26  13:00 – 18:00</t>
  </si>
  <si>
    <t>greenway.png   255 x 50</t>
  </si>
  <si>
    <t>It has deployed 10 multi-standard fast charging stations for electric vehicles (EV) in Slovakia and 75 in Poland.</t>
  </si>
  <si>
    <t>Julia Bircakova</t>
  </si>
  <si>
    <t>MOVE &amp;ndash; Mobility and Vehicles</t>
  </si>
  <si>
    <t>MOVE</t>
  </si>
  <si>
    <t>Pozna&amp;nacute;, Poland</t>
  </si>
  <si>
    <t>2019/03/28 – 29</t>
  </si>
  <si>
    <t>MOVE.png    251 x 98</t>
  </si>
  <si>
    <t>&amp;hellip; discuss the leading trends of the e-mobility industry, &amp;hellip; and forecast the coming changes on this market.</t>
  </si>
  <si>
    <t>T-Camp-Philad</t>
  </si>
  <si>
    <t>http://transportationcamp.org/events/phl2019</t>
  </si>
  <si>
    <t>(PHL) Philadelphia, PA</t>
  </si>
  <si>
    <t>2019/03/30</t>
  </si>
  <si>
    <t>&amp;hellip; we welcome you &amp;hellip; for a day filled with ideas at the intersection of transportation, technology, and urbanism.</t>
  </si>
  <si>
    <t>20th Asia-Pacific Automotive Engineering Conference</t>
  </si>
  <si>
    <t>APAC-20</t>
  </si>
  <si>
    <t>Bangkok, Thailand</t>
  </si>
  <si>
    <t>2019/04/01 – 04</t>
  </si>
  <si>
    <t>APAC-20.png   143 x 59</t>
  </si>
  <si>
    <t>Next Revolution in Automotive Industry</t>
  </si>
  <si>
    <t>Drive Electric Earth Day (first ever)</t>
  </si>
  <si>
    <t>DE-ED</t>
  </si>
  <si>
    <t>Various locations</t>
  </si>
  <si>
    <t>2019/04/01 – 04/30</t>
  </si>
  <si>
    <t>DE-ED.png    179 x 86</t>
  </si>
  <si>
    <t>&amp;hellip; celebrate the environmental and cost-saving benefits of electric vehicles &amp;hellip;</t>
  </si>
  <si>
    <t>Drive Electric Earth Day</t>
  </si>
  <si>
    <t>Conference &amp;ndash; Connected and Automated Driving (CAD)</t>
  </si>
  <si>
    <t>CAD</t>
  </si>
  <si>
    <t>2019/04/02 – 03</t>
  </si>
  <si>
    <t>ConnAutoDriv.png    86 x 92</t>
  </si>
  <si>
    <t>Europe Takes the Lead</t>
  </si>
  <si>
    <t>SAE CEU Course:  Principled Negotiation</t>
  </si>
  <si>
    <t>C1602-19-4</t>
  </si>
  <si>
    <t>2019/04/02</t>
  </si>
  <si>
    <t>Eric-Timmis.png    78 x 114</t>
  </si>
  <si>
    <t>Successful negotiations occur when all parties want the agreement to stay in force and when everyone has a vested interest in making things work.</t>
  </si>
  <si>
    <t>Full Fee:  $835  –  membership and multi-course discounts available</t>
  </si>
  <si>
    <t>SAE 2019 Government/ Industry Meeting</t>
  </si>
  <si>
    <t>SAE-G-I-Mtg</t>
  </si>
  <si>
    <t>2019/04/03 – 05</t>
  </si>
  <si>
    <t>Capitol-small.png            77 x 63</t>
  </si>
  <si>
    <t>&amp;hellip;  discuss the effect of government action and regulations &amp;hellip; on future vehicle design.</t>
  </si>
  <si>
    <t>2019/06/03</t>
  </si>
  <si>
    <t>T-Camp-Ithaca</t>
  </si>
  <si>
    <t>(Ithaca) Ithaca, NY</t>
  </si>
  <si>
    <t>2019/04/06</t>
  </si>
  <si>
    <t>Five periods of up to four+ concurrent sessions &amp;hellip;</t>
  </si>
  <si>
    <t>The 13&lt;sup&gt;th&lt;/sup&gt; Annual IEEE International Systems Conference (SYSCON 2019)</t>
  </si>
  <si>
    <t>SYSCON</t>
  </si>
  <si>
    <t>Orlando, FL</t>
  </si>
  <si>
    <t>2019/04/08 – 11</t>
  </si>
  <si>
    <t>Syscon-2019-tempo.png   143 x 75</t>
  </si>
  <si>
    <t>System-level thinking is essential &amp;hellip; not only for technical systems, but also for society at large.</t>
  </si>
  <si>
    <t>2018/10/12</t>
  </si>
  <si>
    <t>IEEE Systems Council</t>
  </si>
  <si>
    <t>SAE CEU Course:  Hybrid and Electric Vehicle Engineering Academy</t>
  </si>
  <si>
    <t>acad06-19-04</t>
  </si>
  <si>
    <t>2019/04/08 – 12</t>
  </si>
  <si>
    <t>Hybrid-Academy.png  195 x 135</t>
  </si>
  <si>
    <t>&amp;hellip; intensive learning experience [on] hybrid and electric vehciles &amp;hellp; .</t>
  </si>
  <si>
    <t>Full Fee:  $3,500  –  membership and multi-course discounts available</t>
  </si>
  <si>
    <t>3.8 CEUs</t>
  </si>
  <si>
    <t>Seven instructors</t>
  </si>
  <si>
    <t>Saeed Siavoshani, Richard Byczek, Kevin Konecky, Gene Liao, Manoj Shah, Robert Spotnitz, Thomas Stoltz</t>
  </si>
  <si>
    <t>SAE 2019 World Congress Experience</t>
  </si>
  <si>
    <t>WCX; WCX19</t>
  </si>
  <si>
    <t>Detroit, MI</t>
  </si>
  <si>
    <t>2019/04/09 – 11</t>
  </si>
  <si>
    <t>WCX-19.png     85 x 142</t>
  </si>
  <si>
    <t>&amp;hellip; where collaboration and imagination converge to create new solutions for common industry challenges.</t>
  </si>
  <si>
    <t>2018/09/17 (extended)</t>
  </si>
  <si>
    <t>C2cWCX.png    140 x 102</t>
  </si>
  <si>
    <t>Due:  2019/03/10 extended from 03/05</t>
  </si>
  <si>
    <t>InterTraffic_Istanbul</t>
  </si>
  <si>
    <t>InterTraffic-Istanbul</t>
  </si>
  <si>
    <t>Istanbul, Turkey</t>
  </si>
  <si>
    <t>2019/04/10 – 12</t>
  </si>
  <si>
    <t>IntertrafficIstanbul.png         226 x 84</t>
  </si>
  <si>
    <t>&amp;hellip;  perfect gateway to the traffic technology market in Turkey and the surrounding regions.</t>
  </si>
  <si>
    <t>InterTraffic</t>
  </si>
  <si>
    <t>C1896-19-4</t>
  </si>
  <si>
    <t>2019/04/10 – 11</t>
  </si>
  <si>
    <t>2019 International Conference on Microwaves for Intelligent Mobility</t>
  </si>
  <si>
    <t>ICMIM</t>
  </si>
  <si>
    <t>2019/04/15 – 16</t>
  </si>
  <si>
    <t>ICMIM-withName.png   170 x 55</t>
  </si>
  <si>
    <t>2018/12/23 (extended)</t>
  </si>
  <si>
    <t>IEEE Intelligent Transportation Systems Society</t>
  </si>
  <si>
    <t>https://www.ieee-itss.org/</t>
  </si>
  <si>
    <t>Webinar:  Hybrid-Electric Air-Vehicle Propulsion:  Challenges, Opportunities, and Impact</t>
  </si>
  <si>
    <t>HE-AVP</t>
  </si>
  <si>
    <t>2019/04/22  11:00 EDT</t>
  </si>
  <si>
    <t>Phillip-Ansell.png        71 x 118</t>
  </si>
  <si>
    <t>&amp;hellip; several approaches have been taken to reduce the fuel burn of aircraft, including  &amp;hellip; electrification concepts &amp;hellip;</t>
  </si>
  <si>
    <r>
      <rPr>
        <b/>
        <sz val="11"/>
        <rFont val="Calibri"/>
        <family val="2"/>
      </rPr>
      <t>Phillip Ansell</t>
    </r>
    <r>
      <rPr>
        <sz val="11"/>
        <rFont val="Calibri"/>
        <family val="2"/>
      </rPr>
      <t>, Department of Aerospace Engineering, University of Illinois at Urbana-Champaign</t>
    </r>
  </si>
  <si>
    <t>Eric Cheng</t>
  </si>
  <si>
    <t>Advanced Clean Transportation (ACT) Expo</t>
  </si>
  <si>
    <t>ACTexpo</t>
  </si>
  <si>
    <t>http://www.actexpo.com/</t>
  </si>
  <si>
    <t>Long Beach, CA</t>
  </si>
  <si>
    <t>2019/04/23 – 26</t>
  </si>
  <si>
    <t>ActExpo-Triangle.png   199 x 194</t>
  </si>
  <si>
    <t>The Largest Advanced Transportation Technology &amp; Clean Fleet Event</t>
  </si>
  <si>
    <t>http://www.actexpo.com/contact</t>
  </si>
  <si>
    <t>2018/01/15</t>
  </si>
  <si>
    <t>Electric Drive Transportation Association (EDTA)</t>
  </si>
  <si>
    <t>http://electricdrive.org/</t>
  </si>
  <si>
    <t>Networking tour:  2019/04/22</t>
  </si>
  <si>
    <t>Exhibition: 2019/04/24 – 25</t>
  </si>
  <si>
    <t>T-Camp-Boston</t>
  </si>
  <si>
    <t>(New England) Boston, MA</t>
  </si>
  <si>
    <t>2019/04/27</t>
  </si>
  <si>
    <t>&amp;hellip; assemble planners, dreamers, programmers, students, and professionals for an exciting day of &amp;lsquo;un-conferencing.&amp;rsquo;</t>
  </si>
  <si>
    <t>2019 IEEE 89&lt;sup&gt;th&lt;/sup&gt; Vehicular Technology Conference: VTC 2019-Spring</t>
  </si>
  <si>
    <t>VTC-Spring</t>
  </si>
  <si>
    <t>Kuala Lumpur, Malaysia</t>
  </si>
  <si>
    <t>2019/04/28 – 05/01</t>
  </si>
  <si>
    <t>VTC-logo.png     153 x 161</t>
  </si>
  <si>
    <t>[The new] &amp;hellip; innovative Industry Track &amp;hellip;  will feature panels and presentations with industry leaders sharing their perspectives on the latest technologies.</t>
  </si>
  <si>
    <t>Organizing Committees</t>
  </si>
  <si>
    <t>IEEE Vehicle Technology Society</t>
  </si>
  <si>
    <t>http://www.vtsociety.org/</t>
  </si>
  <si>
    <t>2019/02/05 (extended from 01/22)</t>
  </si>
  <si>
    <t>2-pg abstract (with results), or 5-pg full paper, due:  2019/01/31 (extended from 01/22)</t>
  </si>
  <si>
    <t>2019 IEEE PELS CyberPELS Workshop</t>
  </si>
  <si>
    <t>CyberPELS</t>
  </si>
  <si>
    <t>Knoxville, Tennessee</t>
  </si>
  <si>
    <t>2019/04/29 – 05/01</t>
  </si>
  <si>
    <t>C1732-19-4</t>
  </si>
  <si>
    <t>2019/04/29</t>
  </si>
  <si>
    <t>SAE CEU Course:  Hybrid and Electric Vehicle Systems</t>
  </si>
  <si>
    <t>C1504-19-4</t>
  </si>
  <si>
    <t>2019/04/30 – 05/02</t>
  </si>
  <si>
    <t>&amp;hellip;  three-day practical and applications-based course &amp;hellip;</t>
  </si>
  <si>
    <t>Full Fee:  $1,415  –  membership and multi-course discounts available</t>
  </si>
  <si>
    <t>2.0 CEUs</t>
  </si>
  <si>
    <t>SAE CEU Course:  Introduction to Hybrid and Electric Vehicle Battery Systems</t>
  </si>
  <si>
    <t>C0626-19-4</t>
  </si>
  <si>
    <t>2019/04/30 – 05/01</t>
  </si>
  <si>
    <t>Erik-Spek.png   119 x 132</t>
  </si>
  <si>
    <t>&amp;hellip; introduces [the role of batteries in] hybrid vehicles &amp;hellip;</t>
  </si>
  <si>
    <t>Instructor:  Erik Spek</t>
  </si>
  <si>
    <t>SAE CEU Course:  Safe Handling of High Voltage Battery Systems</t>
  </si>
  <si>
    <t>C1019-19-5</t>
  </si>
  <si>
    <t>2019/05/02</t>
  </si>
  <si>
    <t>&amp;hellip; battery systems show no visible or audible warning of any latent danger.</t>
  </si>
  <si>
    <t>5&lt;sup&gt;th&lt;/sup&gt; International Conference on Vehicle Technology and Intelligent Transportation Systems (VEHITS 2019)</t>
  </si>
  <si>
    <t>VEHITS</t>
  </si>
  <si>
    <t>Heraklion, Crete, Greece</t>
  </si>
  <si>
    <t>2019/05/03 – 05</t>
  </si>
  <si>
    <t>VEHITS.png   198 x 45</t>
  </si>
  <si>
    <t>&amp;hellip; innovative applications, tools and platforms &amp;hellip;</t>
  </si>
  <si>
    <t>Position papers (work-in-progress and speculative ideas)</t>
  </si>
  <si>
    <t>2019/01/31 extended from 01/24</t>
  </si>
  <si>
    <t>Montreal Electric Vehicle Show</t>
  </si>
  <si>
    <t>MEVS</t>
  </si>
  <si>
    <t>Montr&amp;eacute;al, Qu&amp;eacute;bec, Canada</t>
  </si>
  <si>
    <t>MonElevVehShow.png              183 x 88</t>
  </si>
  <si>
    <t>Three days opportunity to see, test, analyze and compare</t>
  </si>
  <si>
    <t>Electric Mobility Canada</t>
  </si>
  <si>
    <t>T-Camp-Chicag</t>
  </si>
  <si>
    <t>Chicago, IL</t>
  </si>
  <si>
    <t>2019/05/04</t>
  </si>
  <si>
    <t>EV V&amp;Eacute; 2019 Conference and Trade Show</t>
  </si>
  <si>
    <t>EV-2019-VE</t>
  </si>
  <si>
    <t>Qu&amp;eacute;bec City, Qu&amp;eacute;bec, Canada</t>
  </si>
  <si>
    <t>2019/05/06 – 09</t>
  </si>
  <si>
    <t>EV-VE.png         139 x 53</t>
  </si>
  <si>
    <t>Focusing on all modes of ground electric transportation,&amp;hellip; the most important and respected event in the EV industry in Canada.</t>
  </si>
  <si>
    <t>Includes Press Conf. &amp; Media Ride-and-Drive 10:00 – 11:00</t>
  </si>
  <si>
    <t>2019/05/06  11:00 – 18:00</t>
  </si>
  <si>
    <t>Electric &amp; Hybrid Vehicle Technology Expo Europe</t>
  </si>
  <si>
    <t>EVTech-Europe</t>
  </si>
  <si>
    <t>Stuttgart, Germany</t>
  </si>
  <si>
    <t>EHVTX.png    342 x 177</t>
  </si>
  <si>
    <t>colocated with next</t>
  </si>
  <si>
    <t>Battery Show Europe 2019</t>
  </si>
  <si>
    <t>BatteryShow-Eu</t>
  </si>
  <si>
    <t>BatteryShow-Eu19.png    322 x 70</t>
  </si>
  <si>
    <t>&amp;hellip; unparalleled opportunity to source the latest design, production, and manufacturing solutions from across the battery supply chain &amp;hellip;</t>
  </si>
  <si>
    <t>colocated with previous</t>
  </si>
  <si>
    <t>2019 IEEE Transportation Electrification Conference (ITEC) and EXPO Asia-Pacific</t>
  </si>
  <si>
    <t>ITEC-AP</t>
  </si>
  <si>
    <t>Jeju, Korea</t>
  </si>
  <si>
    <t>2019/05/08 – 10</t>
  </si>
  <si>
    <t>ITEC.png             184 x 75</t>
  </si>
  <si>
    <t>New Paradigm Shift, Sustaionable E-Mobility</t>
  </si>
  <si>
    <t>colocated with next event</t>
  </si>
  <si>
    <t>IEEE  Transportation Electrification</t>
  </si>
  <si>
    <t>The 6&lt;sup&gt;th&lt;/sup&gt; International Electric Vehicle Expo</t>
  </si>
  <si>
    <t>IEVE</t>
  </si>
  <si>
    <t>2019/05/08 – 11</t>
  </si>
  <si>
    <t>IEVE.png          240 x  124</t>
  </si>
  <si>
    <t>Providing the field of setting the standards of electric vehicles &amp;hellip;</t>
  </si>
  <si>
    <t>colocated with previous event</t>
  </si>
  <si>
    <t>tel : 064-702-1580</t>
  </si>
  <si>
    <t>fax : 064-702-1576</t>
  </si>
  <si>
    <t>SAE Free Webinar:&amp;nbsp; Developing Safe and Secure Autonomous Vehicles Across Industries</t>
  </si>
  <si>
    <t>Safe-Secure</t>
  </si>
  <si>
    <t>2019/05/09  11:00 – 12:00 EDT</t>
  </si>
  <si>
    <t>Dion-Sovani-Arrigo.png    250 x 112</t>
  </si>
  <si>
    <t>Road and air testing &amp;hellip; can be addressed with a comprehensive and open autonomous vehicle simulation platform &amp;hellip; to accurately simulate complete autonomous driving systems in a fraction of the time and cost required for physical testing.</t>
  </si>
  <si>
    <r>
      <rPr>
        <b/>
        <sz val="11"/>
        <rFont val="Calibri"/>
        <family val="2"/>
      </rPr>
      <t>Dr. Bernard Dion</t>
    </r>
    <r>
      <rPr>
        <sz val="11"/>
        <rFont val="Calibri"/>
        <family val="2"/>
      </rPr>
      <t>, the Chief Technical Officer of the Systems Business Unit of ANSYS</t>
    </r>
  </si>
  <si>
    <r>
      <rPr>
        <b/>
        <sz val="11"/>
        <rFont val="Calibri"/>
        <family val="2"/>
      </rPr>
      <t>Dr. Sandeep Sovani</t>
    </r>
    <r>
      <rPr>
        <sz val="11"/>
        <rFont val="Calibri"/>
        <family val="2"/>
      </rPr>
      <t>, Director of the Global Automotive Industry at ANSYS</t>
    </r>
  </si>
  <si>
    <r>
      <rPr>
        <sz val="11"/>
        <rFont val="Calibri"/>
        <family val="2"/>
      </rPr>
      <t xml:space="preserve">Moderator:  </t>
    </r>
    <r>
      <rPr>
        <b/>
        <sz val="11"/>
        <rFont val="Calibri"/>
        <family val="2"/>
      </rPr>
      <t>Lisa Arrigo</t>
    </r>
  </si>
  <si>
    <t>T-Camp-Miami</t>
  </si>
  <si>
    <t>http://transportationcamp.org/events/florida2019</t>
  </si>
  <si>
    <t>(Florida) Miami, FL</t>
  </si>
  <si>
    <t>2010/05/09 – 10</t>
  </si>
  <si>
    <t>Sustainable Transportation: The Future is Now</t>
  </si>
  <si>
    <t>SAE Free Webinar:&amp;nbsp; DC Fast Charging: A Thermal Challenge</t>
  </si>
  <si>
    <t>Fast-Charging</t>
  </si>
  <si>
    <t>2019/05/15  12:00 – 13:00 EDT</t>
  </si>
  <si>
    <t>Patterson-Arrigo.png    172 x 112</t>
  </si>
  <si>
    <t>Progress in achieving 400A+ and less than 30-minute charging has been slow due to limitations &amp;hellip;</t>
  </si>
  <si>
    <r>
      <rPr>
        <b/>
        <sz val="11"/>
        <rFont val="Calibri"/>
        <family val="2"/>
      </rPr>
      <t>Jeremy Patterson</t>
    </r>
    <r>
      <rPr>
        <sz val="11"/>
        <rFont val="Calibri"/>
        <family val="2"/>
      </rPr>
      <t>, Director of Engineering for TE&amp;rsquo;s Hybrid &amp; Electric Mobility Solutions team</t>
    </r>
  </si>
  <si>
    <r>
      <rPr>
        <sz val="11"/>
        <rFont val="Calibri"/>
        <family val="2"/>
      </rPr>
      <t xml:space="preserve">Moderator: </t>
    </r>
    <r>
      <rPr>
        <b/>
        <sz val="11"/>
        <rFont val="Calibri"/>
        <family val="2"/>
      </rPr>
      <t xml:space="preserve"> Lisa Arrigo</t>
    </r>
  </si>
  <si>
    <t>Connected and Automated Vehicle Engineering 2019</t>
  </si>
  <si>
    <t>CAVE</t>
  </si>
  <si>
    <t>Santa Clara, CA</t>
  </si>
  <si>
    <t>2019/05/15 – 16</t>
  </si>
  <si>
    <t>Cave.png          332 x 93</t>
  </si>
  <si>
    <t>Where Auto Meets IoT &amp;ndash; Enabling the Era of Electrified Automated Mobility on Demand</t>
  </si>
  <si>
    <t>2018/12/14</t>
  </si>
  <si>
    <t>Colocated with &amp;ldquo;Internet of Things World&amp;rdquo; 2019/05/14 – 16</t>
  </si>
  <si>
    <t>TSC@W Exhibit at International Museum Day</t>
  </si>
  <si>
    <t>IMD</t>
  </si>
  <si>
    <t>Centereach, LI, NY</t>
  </si>
  <si>
    <t>2019/05/16</t>
  </si>
  <si>
    <t>Mid-County-Lib.png          132 x 112</t>
  </si>
  <si>
    <t>Discover Tesla through hands-on exhibits featuring electro-magnetic machinery, Tesla coils, theremins, and more!</t>
  </si>
  <si>
    <t>Webinar:  High Efficiency Wireless Charging of Electric Vehicles</t>
  </si>
  <si>
    <t>HEWC-EV</t>
  </si>
  <si>
    <t>2019/05/16  11:00 EDT</t>
  </si>
  <si>
    <t>Chris-Mi.png      114x 182</t>
  </si>
  <si>
    <t>&amp;hellip;  tens of kilowatts of power transfer can be achieved over 200mm distance with an efficiency of 97% &amp;hellip;</t>
  </si>
  <si>
    <r>
      <rPr>
        <b/>
        <sz val="11"/>
        <rFont val="Calibri"/>
        <family val="2"/>
      </rPr>
      <t>Chris Mi</t>
    </r>
    <r>
      <rPr>
        <sz val="11"/>
        <rFont val="Calibri"/>
        <family val="2"/>
      </rPr>
      <t>, Department of Electrical and Computer Engineering, San Diego State University</t>
    </r>
  </si>
  <si>
    <t>T-Camp-Baltim</t>
  </si>
  <si>
    <t>(Baltimore) Baltimore, MD</t>
  </si>
  <si>
    <t>2019/05/18</t>
  </si>
  <si>
    <t>Share your session ideas and requests with the hashtag #TCBAL19.</t>
  </si>
  <si>
    <t>International Electric Vehicle Symposium and Exhibition</t>
  </si>
  <si>
    <t>EVS32</t>
  </si>
  <si>
    <t>Lyon, France</t>
  </si>
  <si>
    <t>2019/05/19 – 22</t>
  </si>
  <si>
    <t>EVS32.png       165 x 120</t>
  </si>
  <si>
    <t>Sustainable mobility is a core concern for all industrial players and public authorities.</t>
  </si>
  <si>
    <t>2018/10/31 extended</t>
  </si>
  <si>
    <t>SBIR Road Tour &amp;ndash; Central Plains</t>
  </si>
  <si>
    <t>SBIR-Plains-Road-Tour</t>
  </si>
  <si>
    <t>2019/05/20 – 24</t>
  </si>
  <si>
    <t>SBIR-Road-Tour-finecolor.png       122 x 122</t>
  </si>
  <si>
    <t>&amp;hellip;  the country&amp;rsquo;s largest source of early stage funding &amp;hellip;</t>
  </si>
  <si>
    <t>Organizational (Co)-Hosts</t>
  </si>
  <si>
    <t>Event details (&amp;tickets/registration)</t>
  </si>
  <si>
    <t>Separate regis. page</t>
  </si>
  <si>
    <t>Small Business Administration</t>
  </si>
  <si>
    <t>Oklahoma City, OK</t>
  </si>
  <si>
    <t>2019/05/20</t>
  </si>
  <si>
    <t>Daniel Moses</t>
  </si>
  <si>
    <t>(405) 325-7804</t>
  </si>
  <si>
    <t>Kansas City, KS</t>
  </si>
  <si>
    <t>2019/05/21</t>
  </si>
  <si>
    <t>Sherry Gegan</t>
  </si>
  <si>
    <t>(316) 978-5363</t>
  </si>
  <si>
    <t>Des Moines, IA</t>
  </si>
  <si>
    <t>2019/05/22</t>
  </si>
  <si>
    <t>Anne Price</t>
  </si>
  <si>
    <t>Sioux Falls, SD</t>
  </si>
  <si>
    <t>2019/05/23</t>
  </si>
  <si>
    <t>Gary Archamboult</t>
  </si>
  <si>
    <t>(605) 367-5757</t>
  </si>
  <si>
    <t>Fargo, ND</t>
  </si>
  <si>
    <t>2019/05/24</t>
  </si>
  <si>
    <t>John Cosgriff</t>
  </si>
  <si>
    <t>(701) 499-3600</t>
  </si>
  <si>
    <t>SAE CEU Course:  Fundamentals of Powertrain Design for Hybrid Electric Vehicles</t>
  </si>
  <si>
    <t>C1527-19-5</t>
  </si>
  <si>
    <t xml:space="preserve">Shanghai, China </t>
  </si>
  <si>
    <t>2019/05/21 – 22</t>
  </si>
  <si>
    <t>Zhihui-Duan.png         84 x 124</t>
  </si>
  <si>
    <t>&amp;hellip; success will depend on engineering personnel knowing how to develop and manufacture HEV powertrains.</t>
  </si>
  <si>
    <t>Full Fee:  $1,415 – membership and multi-course discounts available</t>
  </si>
  <si>
    <t>Instructor:  Zhihui Duan</t>
  </si>
  <si>
    <t>New Energy &amp; Intelligent Connected Vehicle Technology Conference</t>
  </si>
  <si>
    <t>NE-ICV</t>
  </si>
  <si>
    <t>NE-ICV.png   81 x 100</t>
  </si>
  <si>
    <t>&amp;hellip; a dual-track event that &amp;hellip; include[s] development of less expensive batteries, computer-learned driving to maximize vehicle distance and recharging, thermal management, efficient electric drive motors, and systems integration.</t>
  </si>
  <si>
    <t>Autonomous Vehicle Technology World Expo 2019</t>
  </si>
  <si>
    <t>AVT-Ger</t>
  </si>
  <si>
    <t>2019/05/21 – 23</t>
  </si>
  <si>
    <t>AVT-Ger.png   285 x 100</t>
  </si>
  <si>
    <t>Discover brand-new ADAS technologies and partners!</t>
  </si>
  <si>
    <t>Autonomous Vehicle Test &amp; Development Symposium Europe</t>
  </si>
  <si>
    <t>&amp;hellip; over 150 of the world’s leading experts in &amp;hellip; autonomous vehicle research, testing, validation and development</t>
  </si>
  <si>
    <t>Andrew Boakes, Conference Director</t>
  </si>
  <si>
    <t xml:space="preserve">+44 1306 743744 </t>
  </si>
  <si>
    <t>2019/01/18</t>
  </si>
  <si>
    <t>Prof,</t>
  </si>
  <si>
    <t>Autonomous Vehicle Interior Design &amp; Technology Symposium Europe</t>
  </si>
  <si>
    <t>&amp;hellip; Human-Machine Interface (HMI), &amp;hellip; technological and passenger-protection implications, &amp;hellip; passenger comfort and info&amp;#8209;tainment &amp;hellip; .</t>
  </si>
  <si>
    <t>Autonomous Vehicle Software Symposium</t>
  </si>
  <si>
    <t>&amp;hellip; dramatically reduce development timescales while boosting security and effectively tackling AI challenges and the decision-making processes.</t>
  </si>
  <si>
    <t>Green Transportation Summit and Expo</t>
  </si>
  <si>
    <t>GT-Summit</t>
  </si>
  <si>
    <t>Tacoma, WA</t>
  </si>
  <si>
    <t>GT-Summit.png  173 x 173</t>
  </si>
  <si>
    <t>&amp;hellip; the region&amp;rsquo;s premier fleet modernization and alternative fuels event.</t>
  </si>
  <si>
    <t>2018/10/31</t>
  </si>
  <si>
    <t>Social Enterprises</t>
  </si>
  <si>
    <t>Volpe Webinar:  Staying Safe In Our New Mobility Future</t>
  </si>
  <si>
    <t>Furchtgott-Roth</t>
  </si>
  <si>
    <t>Cambridge, MA</t>
  </si>
  <si>
    <t>2019/05/22 12:00 – 12:45</t>
  </si>
  <si>
    <t>Diana-Furchtgott-Roth.png        95 x 126</t>
  </si>
  <si>
    <r>
      <rPr>
        <b/>
        <sz val="11"/>
        <rFont val="Calibri"/>
        <family val="2"/>
      </rPr>
      <t>Diana Furchtgott-Roth,</t>
    </r>
    <r>
      <rPr>
        <sz val="11"/>
        <rFont val="Calibri"/>
        <family val="2"/>
      </rPr>
      <t xml:space="preserve"> U.S. DOT Deputy Assistant Secretary for Research and Technology</t>
    </r>
  </si>
  <si>
    <t>Ellen Bell</t>
  </si>
  <si>
    <t>617-494-2491</t>
  </si>
  <si>
    <t>mailto:ellen.bell@dot.gov</t>
  </si>
  <si>
    <t>Volpe Center</t>
  </si>
  <si>
    <t>http://www.volpe.dot.gov/</t>
  </si>
  <si>
    <t>Policy</t>
  </si>
  <si>
    <t>Upcoming Volpe Events</t>
  </si>
  <si>
    <t>C1868-19-5</t>
  </si>
  <si>
    <t>Shanghai, China</t>
  </si>
  <si>
    <t>2019/05/22 – 24</t>
  </si>
  <si>
    <t>MTST'19 &amp;ndash; Magnetic Levitation Transport Systems and Technologies</t>
  </si>
  <si>
    <t>MTST'19; Rus-Maglev-Conf</t>
  </si>
  <si>
    <t>St. Petersburg, Russia</t>
  </si>
  <si>
    <t>2019/05/23 – 25</t>
  </si>
  <si>
    <t>RusMaglev.png       281 x 194</t>
  </si>
  <si>
    <t>&amp;hellip; sustainability, transport safety, speed, transportation economy, [in] creating cutting-edge transport technology.</t>
  </si>
  <si>
    <t>The International Maglev Board</t>
  </si>
  <si>
    <t>Nyet</t>
  </si>
  <si>
    <t>Quebec Electric Vehicle Show</t>
  </si>
  <si>
    <t>QEVS</t>
  </si>
  <si>
    <t>2019/05/24 – 26</t>
  </si>
  <si>
    <t>QueElevVehShow.png              183 x 88</t>
  </si>
  <si>
    <t>InterTraffic China</t>
  </si>
  <si>
    <t>InterTraffic-China</t>
  </si>
  <si>
    <t>2019/05/27 – 29</t>
  </si>
  <si>
    <t>IntertrafficChina.png         226 x 84</t>
  </si>
  <si>
    <t>&amp;hellip;  the Chinese government plans to spend billions on road and railway construction &amp;hellip;</t>
  </si>
  <si>
    <t>European Conference on Mobility Management (ECOMM)</t>
  </si>
  <si>
    <t>ECOMM</t>
  </si>
  <si>
    <t>Edinburgh, Scotland, UK</t>
  </si>
  <si>
    <t>2019/05/29 – 31</t>
  </si>
  <si>
    <t>Edinburgh-Castle.png   147 x 84</t>
  </si>
  <si>
    <t>&amp;hellip; THE meeting place for Mobility Management practitioners and experts all over Europe.</t>
  </si>
  <si>
    <t>ERTICO</t>
  </si>
  <si>
    <t>An Electric Idea: Nikola Tesla &amp; His Long Island Laboratory</t>
  </si>
  <si>
    <t>LI-Lab</t>
  </si>
  <si>
    <t>Shoreham, NY</t>
  </si>
  <si>
    <t>2019/05/29    19:00 – 20:30</t>
  </si>
  <si>
    <t>Tesla-LI.png     92 x 110</t>
  </si>
  <si>
    <t>&amp;hellip; Jane Alcorn, will discuss Nikola Tesla’s extraordinary life, &amp;hellip; as well as the efforts to preserve [his] important legacy.</t>
  </si>
  <si>
    <t>https://teslasciencecenter.org/</t>
  </si>
  <si>
    <t>Tesla[&amp;rsquo;]s boldest project ever&amp;mdash;building a global, wireless communication system &amp;hellip;</t>
  </si>
  <si>
    <t>AutoDrive Challenge&amp;trade; (Student Competition)</t>
  </si>
  <si>
    <t>AutoDrive</t>
  </si>
  <si>
    <t>Ann Arbor, MI</t>
  </si>
  <si>
    <t>2019/05/29 – 06/05</t>
  </si>
  <si>
    <t>AutoDrive.png  127 x 137</t>
  </si>
  <si>
    <t>This &amp;hellip; competition will task students to develop and demonstrate a full autonomous driving passenger vehicle.</t>
  </si>
  <si>
    <t>https://www.sae.org/attend/student-events/</t>
  </si>
  <si>
    <t>Prof. / Student</t>
  </si>
  <si>
    <t>17&lt;sup&gt;th&lt;/sup&gt; TRB National Transportation Planning Applications Conference</t>
  </si>
  <si>
    <t>TRB-PAC; ABD50</t>
  </si>
  <si>
    <t>Portland, OR</t>
  </si>
  <si>
    <t>2019/06/02 – 05</t>
  </si>
  <si>
    <t>TRB-PAC.png   140 x 140</t>
  </si>
  <si>
    <t>&amp;hellip; exchange of transportation planning techniques and methods &amp;hellip;</t>
  </si>
  <si>
    <t>Abstracts:  2018/09/12</t>
  </si>
  <si>
    <t>13&lt;sup&gt;th&lt;/sup&gt; ITS European Congress</t>
  </si>
  <si>
    <t>ITS-Europe</t>
  </si>
  <si>
    <t>Brainport, Netherlands</t>
  </si>
  <si>
    <t>2019/06/03 – 06</t>
  </si>
  <si>
    <t>ITS-WC-19.png  163 x 193</t>
  </si>
  <si>
    <t>Fulfilling ITS Promises</t>
  </si>
  <si>
    <t>2019/01/18 (extended)</t>
  </si>
  <si>
    <t>Public demos on 2019/06/02</t>
  </si>
  <si>
    <t>2019/01/15</t>
  </si>
  <si>
    <t>ITS Europe</t>
  </si>
  <si>
    <t>TU-Automotive Detroit 19</t>
  </si>
  <si>
    <t>TU-AUTO</t>
  </si>
  <si>
    <t>Novi, MI</t>
  </si>
  <si>
    <t>2019/06/04 – 06</t>
  </si>
  <si>
    <t>SCS-Novi-MI.png    158 x 112</t>
  </si>
  <si>
    <t>Shaping the Future of Global Connected Auto Mobility</t>
  </si>
  <si>
    <t>Annie Reddaway</t>
  </si>
  <si>
    <t>Prof. ?</t>
  </si>
  <si>
    <t>Connected, Autonomous, Shared, Electric. The world's biggest conference &amp; expo for future auto tech.</t>
  </si>
  <si>
    <t>IV2019</t>
  </si>
  <si>
    <t>Paris, France</t>
  </si>
  <si>
    <t>2019/06/09 – 12</t>
  </si>
  <si>
    <t>IV2019-Paris.png       133 x 150</t>
  </si>
  <si>
    <t>&amp;hellip;&amp;nbsp;the latest advances in theory and technology related to  intelligent vehicles</t>
  </si>
  <si>
    <t>2019/02/07 (final)</t>
  </si>
  <si>
    <t>2019/01/31 (extended; final)</t>
  </si>
  <si>
    <t>T-Camp-IPMI</t>
  </si>
  <si>
    <t>(IPMI) Anaheim, CA</t>
  </si>
  <si>
    <t>2019/06/09  12:30 – 17:30  PDT</t>
  </si>
  <si>
    <t>The International Parking &amp; Mobility Institute is organizing a half-day TransportationCamp for attendees of the [colocated event].</t>
  </si>
  <si>
    <t>2019 International Parking &amp; Mobility Institute Conference &amp; Expo</t>
  </si>
  <si>
    <t>2019 World Transport Convention</t>
  </si>
  <si>
    <t>WTC</t>
  </si>
  <si>
    <t>Beijing, China</t>
  </si>
  <si>
    <t>2019/06/13 – 16</t>
  </si>
  <si>
    <t>WTC-Color.png   188 x 135</t>
  </si>
  <si>
    <t>2019/03/20 (extended from 01/31)</t>
  </si>
  <si>
    <t>WTC-Logo.png   169 x 132</t>
  </si>
  <si>
    <t>Volpe Webinar:  Creating Autonomous Vehicles and Travel Advisors that Are Risk-Aware</t>
  </si>
  <si>
    <t>Williams</t>
  </si>
  <si>
    <t>2019/06/13 12:00 – 12:45</t>
  </si>
  <si>
    <t>Brian-C-Williams.png        107 x 148</t>
  </si>
  <si>
    <r>
      <rPr>
        <b/>
        <sz val="11"/>
        <color indexed="8"/>
        <rFont val="Calibri"/>
        <family val="2"/>
      </rPr>
      <t>Brian C. Williams</t>
    </r>
    <r>
      <rPr>
        <sz val="11"/>
        <color indexed="8"/>
        <rFont val="Calibri"/>
        <family val="2"/>
      </rPr>
      <t>, Ph.D.: Professor, Massachusetts Institute of Technology</t>
    </r>
  </si>
  <si>
    <t>&amp;ldquo;Tower to the People&amp;rdquo; Screening + Director Q&amp;A</t>
  </si>
  <si>
    <t>East Setauket, LI, NY</t>
  </si>
  <si>
    <t>2019/06/15  18:30 – 21:30</t>
  </si>
  <si>
    <t>TowerFilm-Header.png   164 x 113</t>
  </si>
  <si>
    <t>&amp;hellip; the award-winning film Tower to the People [followed by] a thought-provoking Q&amp;A with director Joseph Sikorski.</t>
  </si>
  <si>
    <t>$55 full price; $50 Sudents; addt’l discount for members</t>
  </si>
  <si>
    <t>SAE CEU Course:  Introduction to NVH (Noise, Vibration, and Harshness) Aspects of Hybrid and Electric Vehicles</t>
  </si>
  <si>
    <t>c1128-19-6</t>
  </si>
  <si>
    <t>Grand Rapids, MI</t>
  </si>
  <si>
    <t>2019/06/14</t>
  </si>
  <si>
    <t>Kiran-Govindswamy.png   72 x 86</t>
  </si>
  <si>
    <t>&amp;hellip; it is also important to consider &amp;hellip; reduced &amp;hellip; noise levels on pedestrian safety.</t>
  </si>
  <si>
    <t>Full Fee:  $835 – membership and multi-course discounts available</t>
  </si>
  <si>
    <t>Instructor:  Kiran Govindswamy</t>
  </si>
  <si>
    <t>TechConnect World Innovation colocated events</t>
  </si>
  <si>
    <t>TechConnect</t>
  </si>
  <si>
    <t>Boston, MA</t>
  </si>
  <si>
    <t>2019/06/17 – 19</t>
  </si>
  <si>
    <t>TechConnect.png    358 x 68</t>
  </si>
  <si>
    <t xml:space="preserve">     No       (Only to include Student Conf.)</t>
  </si>
  <si>
    <t>Conference and Expo</t>
  </si>
  <si>
    <t>Abstracts due 2019/05/10 (extended from 04/12, 03/08 and 03/01)</t>
  </si>
  <si>
    <t xml:space="preserve">Student Leaders Conference </t>
  </si>
  <si>
    <t>&amp;hellip; brings together undergraduate nano and emerging technologies student group representatives &amp;hellip;</t>
  </si>
  <si>
    <t>2019/03/08 (extended from 02/15)</t>
  </si>
  <si>
    <t>Student / Prof.</t>
  </si>
  <si>
    <t>SBIR / STTR Spring Innovation Conference</t>
  </si>
  <si>
    <t>&amp;hellip; nation's largest source of early stage / high risk R&amp;D funding for small business.</t>
  </si>
  <si>
    <t>2019/02/01</t>
  </si>
  <si>
    <t>DTC Spring Conference and Expo</t>
  </si>
  <si>
    <t>Accelerating Private-Sector Innovation into Defense Application.</t>
  </si>
  <si>
    <t>2019/02/01, extended from 01/25</t>
  </si>
  <si>
    <t>Expo</t>
  </si>
  <si>
    <t>2019/06/17 – 18</t>
  </si>
  <si>
    <t>&amp;hellip; largest expo built specifically for the global innovation community.</t>
  </si>
  <si>
    <t>Roadmap 12</t>
  </si>
  <si>
    <t>Roadmap</t>
  </si>
  <si>
    <t>2019/06/18 – 19</t>
  </si>
  <si>
    <t>Roadmap-11.png         224 x 63</t>
  </si>
  <si>
    <t>&amp;hellip; the nation&amp;rsquo;s largest and most advanced annual conference on electric and smart mobility.</t>
  </si>
  <si>
    <t>2018/11/16</t>
  </si>
  <si>
    <t>Workshop:  ITS Today: Technologies Across Ontario</t>
  </si>
  <si>
    <t>ITS-Ontario</t>
  </si>
  <si>
    <t>Waterloo, ON, Canada</t>
  </si>
  <si>
    <t>2019/06/19</t>
  </si>
  <si>
    <t>Univ-Waterloo-Seal.png         99 x 120</t>
  </si>
  <si>
    <t>&amp;hellip; look at the role ITS Technologies play in Smart Cities and &amp;hellip; deployment of Connected and Automated Vehicle Technologies in Ontario.</t>
  </si>
  <si>
    <t>Intelligent Transportation Systems Society of Canada</t>
  </si>
  <si>
    <t>ITEC</t>
  </si>
  <si>
    <t>2019/06/19 – 21</t>
  </si>
  <si>
    <t>&amp;hellip; cutting edge of transportation electrification &amp;hellip;</t>
  </si>
  <si>
    <t>IEEE Transportation Electrification</t>
  </si>
  <si>
    <t>SteamCon</t>
  </si>
  <si>
    <t>Holbrook, NY</t>
  </si>
  <si>
    <t>2019/06/22   11:00 – 16:00</t>
  </si>
  <si>
    <t>SteamCon-Sachem-Tree.png        327 x 292</t>
  </si>
  <si>
    <t>Gyroscope, Star Lab, Virtual Reality demos, and more!  NEW for 2019 &amp;hellip; the annual Summer Flea Market and Garage Sale.</t>
  </si>
  <si>
    <t>aabc</t>
  </si>
  <si>
    <t>San Diego, CA</t>
  </si>
  <si>
    <t>2019/06/24 – 27</t>
  </si>
  <si>
    <t>aabc-wh.png  238 x 117</t>
  </si>
  <si>
    <t>&amp;hellip; batteries with enhanced performance, durability, cost, and abuse tolerance &amp;hellip;</t>
  </si>
  <si>
    <t>781.972.5400</t>
  </si>
  <si>
    <t>Subm. By 2018/12/21 for priority consideration</t>
  </si>
  <si>
    <t>http://evworld.com/calendar.cfm</t>
  </si>
  <si>
    <t>Volpe Webinar:  Putting Big Data to Work: Getting Beyond the Hype and into Concrete, Powerful Applications Now and in the Future</t>
  </si>
  <si>
    <t>Schewel</t>
  </si>
  <si>
    <t>2019/06/25 12:00 – 12:45</t>
  </si>
  <si>
    <t>Laura-Schewel.png        94 x 137</t>
  </si>
  <si>
    <r>
      <rPr>
        <b/>
        <sz val="11"/>
        <rFont val="Calibri"/>
        <family val="2"/>
      </rPr>
      <t>Laura Schewel</t>
    </r>
    <r>
      <rPr>
        <sz val="11"/>
        <rFont val="Calibri"/>
        <family val="2"/>
      </rPr>
      <t>, Founder and Chief Executive Officer, StreetLight Data</t>
    </r>
  </si>
  <si>
    <t>Tour of Wardenclyffe</t>
  </si>
  <si>
    <t>Wardenclyffe-Tour</t>
  </si>
  <si>
    <t>Shoreham, LI, NY</t>
  </si>
  <si>
    <t>2019/06/29  10:30 – 12:00</t>
  </si>
  <si>
    <t>Wardenclyffe-Chimney.png   130 x 130</t>
  </si>
  <si>
    <t>Walk in Tesla’s footsteps and explore his inventions during a special interactive tour that takes you on a journey through time!</t>
  </si>
  <si>
    <t>;   13:00 – 14:30</t>
  </si>
  <si>
    <t>LDIA 2019 (The 12&lt;sup&gt;th&lt;/sup&gt; International Symposium on Linear Drives for Industry Applications)</t>
  </si>
  <si>
    <t>LDIA</t>
  </si>
  <si>
    <t>Neuch&amp;acirc;tel, Switzerland</t>
  </si>
  <si>
    <t>2019/07/01 – 04</t>
  </si>
  <si>
    <t>Neuchatel.png   150 x 102</t>
  </si>
  <si>
    <t>&amp;hellip; linear drive technology.</t>
  </si>
  <si>
    <t>Abstracts due:  2018/12/31 (re-extended)</t>
  </si>
  <si>
    <t>Help us count EVs from coast to coast on Independence Day</t>
  </si>
  <si>
    <t>2019/07/04</t>
  </si>
  <si>
    <t>EV-Count.png  149 x 124</t>
  </si>
  <si>
    <t>On the 4th of July, go for a walk in your neighborhood and count how many all-electric and plug-in hybrid vehicles you see, compared to the total number of cars you see.</t>
  </si>
  <si>
    <t>https://www.pluginamerica.org</t>
  </si>
  <si>
    <t>Volpe Webinar:  The ACES and the Future of Transportation</t>
  </si>
  <si>
    <t>Mistele</t>
  </si>
  <si>
    <t>2019/07/09</t>
  </si>
  <si>
    <t>Bryan-Mistele.png    73 x 115</t>
  </si>
  <si>
    <t>Transportation is being fundamentally transformed by the ACES (Autonomous, Connected, Electric &amp; Shared vehicles).</t>
  </si>
  <si>
    <r>
      <rPr>
        <b/>
        <sz val="11"/>
        <color indexed="8"/>
        <rFont val="Calibri"/>
        <family val="2"/>
      </rPr>
      <t>Bryan Mistele</t>
    </r>
    <r>
      <rPr>
        <sz val="11"/>
        <color indexed="8"/>
        <rFont val="Calibri"/>
        <family val="2"/>
      </rPr>
      <t>, Co-founder, President and CEO, INRIX</t>
    </r>
  </si>
  <si>
    <t>SAE Free Webinar:&amp;nbsp; Developing Higher Density Materials for Lithium-Ion Batteries</t>
  </si>
  <si>
    <t>Hi-Dens-Li-Ion</t>
  </si>
  <si>
    <t>2019/07/11  10:00 – 10:30 EDT</t>
  </si>
  <si>
    <t>Schmitt-Wlliams-Arrigo.png     232  x 112</t>
  </si>
  <si>
    <t>Developing better materials for lithium-ion batteries requires &amp;hellip; analytical methods and evaluation materials [and] better understanding of &amp;hellip; charge/discharge cycles.</t>
  </si>
  <si>
    <r>
      <rPr>
        <b/>
        <sz val="11"/>
        <rFont val="Calibri"/>
        <family val="2"/>
      </rPr>
      <t>Ferdinand Schmitt</t>
    </r>
    <r>
      <rPr>
        <sz val="11"/>
        <rFont val="Calibri"/>
        <family val="2"/>
      </rPr>
      <t>, Sales Manager, MBRAUN</t>
    </r>
  </si>
  <si>
    <r>
      <rPr>
        <b/>
        <sz val="11"/>
        <rFont val="Calibri"/>
        <family val="2"/>
      </rPr>
      <t>Tony Williams</t>
    </r>
    <r>
      <rPr>
        <sz val="11"/>
        <rFont val="Calibri"/>
        <family val="2"/>
      </rPr>
      <t>, Sr. Mgr., Materials &amp; Structural Analysis Div., Thermo Fisher Scientific</t>
    </r>
  </si>
  <si>
    <t>2019 Tesla Birthday Expo</t>
  </si>
  <si>
    <t>Tesla-Bday</t>
  </si>
  <si>
    <t>2019/07/13</t>
  </si>
  <si>
    <t>Tesla-Bday-2019-2.png        104 x 128</t>
  </si>
  <si>
    <t>&amp;hellip; 100&lt;sup&gt;th&lt;/sup&gt; anniversary of Tesla&amp;rsquo;s 1919 autobiography, &lt;/i&gt;My Inventions&lt;i&gt;, &amp;hellip; an extravaganza of robots, radio, electricity, virtual reality, and more!&amp;nbsp; Also, a giant  40-ft. Tesla Coil!</t>
  </si>
  <si>
    <t>Online Tickets:  Adults: $20; Seniors: $18; TSCW Members: $15; Kids 5-12: $5; Kids under 5: Free                 $25 at the door</t>
  </si>
  <si>
    <t>Forty-foot-Tesla-coil.png   127 x 124</t>
  </si>
  <si>
    <t>Large-Tesla-Coil.png        125 x 132</t>
  </si>
  <si>
    <t>T-Camp-LA</t>
  </si>
  <si>
    <t>Los Angeles, CA</t>
  </si>
  <si>
    <t>2010/07/13</t>
  </si>
  <si>
    <t>Automated Vehicles Symposium 2019</t>
  </si>
  <si>
    <t>AVS</t>
  </si>
  <si>
    <t>2019/07/15 – 18</t>
  </si>
  <si>
    <t>AVS-2019.png    260 x 133</t>
  </si>
  <si>
    <t>&amp;hellip; complex technology, operations, and policy issues.</t>
  </si>
  <si>
    <t>2018/03/21</t>
  </si>
  <si>
    <t>Help:  Katie Cooper  mailto:kcooper@auvsi.org</t>
  </si>
  <si>
    <t>https://avs18posters.secure-platform.com/a/solicitations/login/8?returnUrl=http%3A%2F%2Favs18posters.secure-platform.com%2Fa%2Fsolicitations%2Fhome%2F8</t>
  </si>
  <si>
    <t>July 2019 Battery Seminar</t>
  </si>
  <si>
    <t>BatSem-1907</t>
  </si>
  <si>
    <t>Plymouth, MI</t>
  </si>
  <si>
    <t>2019/07/16 – 18</t>
  </si>
  <si>
    <t>Dr-John-Warner.png    129 x 147</t>
  </si>
  <si>
    <t>Conference fostering joint development efforts to advance energy storage solutions</t>
  </si>
  <si>
    <t>http://plugvolt.com/</t>
  </si>
  <si>
    <t>29&lt;sup&gt;th&lt;/sup&gt; Annual INCOSE International Symposium</t>
  </si>
  <si>
    <t>INCOSE-Symposium</t>
  </si>
  <si>
    <t>2019/07/20 – 25</t>
  </si>
  <si>
    <t>INCOSE-Symposium.png    195 x 158</t>
  </si>
  <si>
    <t>Premier Systems Engineering Conference</t>
  </si>
  <si>
    <t>INCOSE:  International Council on Systems Engineering</t>
  </si>
  <si>
    <t>There are four categories:  Paper, Panel/Roundtable, Tutorials, and “Paperless Preseentations</t>
  </si>
  <si>
    <t>SAE CyberAuto Challenge&amp;trade;</t>
  </si>
  <si>
    <t>CyberAuto</t>
  </si>
  <si>
    <t>Warren, MI</t>
  </si>
  <si>
    <t>2019/07/21 – 26</t>
  </si>
  <si>
    <t>CyberAuto.png  192 x 90</t>
  </si>
  <si>
    <t>&amp;hellip; brings together all of the players &amp;ndash; from researchers, hackers, engineers, and aspiring students—at this groundbreaking event in automotive cybersecurity.</t>
  </si>
  <si>
    <t>Volpe Webinar:  Solving for Tomorrow&amp;rsquo;s Transportation Challenges</t>
  </si>
  <si>
    <t>Drennan</t>
  </si>
  <si>
    <t>2019/07/23 12:00 – 12:45</t>
  </si>
  <si>
    <t>J-Scott-Drennan.png     66 x 117</t>
  </si>
  <si>
    <r>
      <rPr>
        <b/>
        <sz val="11"/>
        <rFont val="Calibri"/>
        <family val="2"/>
      </rPr>
      <t>J. Scott Drennan</t>
    </r>
    <r>
      <rPr>
        <sz val="11"/>
        <rFont val="Calibri"/>
        <family val="2"/>
      </rPr>
      <t>, Vice President of Innovation, Bell Flight</t>
    </r>
  </si>
  <si>
    <t>The 23&lt;sup&gt;rd&lt;/sup&gt; International Symposium on Transportation and Traffic Theory</t>
  </si>
  <si>
    <t>isttt</t>
  </si>
  <si>
    <t>Lausanne, Switzerland</t>
  </si>
  <si>
    <t>2019/07/24 – 26</t>
  </si>
  <si>
    <t>isttt.png          144 x 61</t>
  </si>
  <si>
    <t>&amp;hellip; all scientific, fundamental and methodological aspects of transportation systems spanning all modes of transport &amp;hellip;</t>
  </si>
  <si>
    <t>2017/12/01</t>
  </si>
  <si>
    <t>Volpe Webinar:  The Rapid Expansion of Micromobility, Data-Sharing, and Dynamic Streets</t>
  </si>
  <si>
    <t>Clewlow</t>
  </si>
  <si>
    <t>2019/07/30 12:00 – 12:45</t>
  </si>
  <si>
    <t>Regina-Clewlow.png        105 x 142</t>
  </si>
  <si>
    <r>
      <rPr>
        <b/>
        <sz val="11"/>
        <rFont val="Calibri"/>
        <family val="2"/>
      </rPr>
      <t>Regina Clewlow, Ph.D.</t>
    </r>
    <r>
      <rPr>
        <sz val="11"/>
        <rFont val="Calibri"/>
        <family val="2"/>
      </rPr>
      <t>, CEO &amp; Founder, Populus</t>
    </r>
  </si>
  <si>
    <t>C1896-19-8</t>
  </si>
  <si>
    <t>2019/08/06 – 07</t>
  </si>
  <si>
    <t>2019 Conference on Electrical Machines and Systems</t>
  </si>
  <si>
    <t>ICEMS</t>
  </si>
  <si>
    <t>Harbin, China</t>
  </si>
  <si>
    <t>2019/08/11 – 14</t>
  </si>
  <si>
    <t>ICEMS-Harbin-new.png       200 x 95</t>
  </si>
  <si>
    <t>&amp;hellip; exchange useful information and experiences about electrical machine, control, drive, system, &amp;hellip;</t>
  </si>
  <si>
    <t>One-Page Digests due:  2019/04/15 extended from 04/01</t>
  </si>
  <si>
    <t>IEEE Industry Applications Society (IAS)</t>
  </si>
  <si>
    <t>One-Page Digests due:  TBD</t>
  </si>
  <si>
    <t>SBIR Road Tour &amp;ndash; SouthWest</t>
  </si>
  <si>
    <t>SBIR-SouthWest-Road-Tour</t>
  </si>
  <si>
    <t>2019/08/12 – 16</t>
  </si>
  <si>
    <t xml:space="preserve">Tucson, AZ </t>
  </si>
  <si>
    <t>2019/08/12</t>
  </si>
  <si>
    <t>Anita Bell</t>
  </si>
  <si>
    <t>(520) 382-3260</t>
  </si>
  <si>
    <t>El Paso, TX</t>
  </si>
  <si>
    <t>2019/08/13</t>
  </si>
  <si>
    <t>Bijo Mathew</t>
  </si>
  <si>
    <t>(210) 458-2450</t>
  </si>
  <si>
    <t>(210) 458-2745</t>
  </si>
  <si>
    <t>Albuquerque, NM</t>
  </si>
  <si>
    <t>2019/08/14</t>
  </si>
  <si>
    <t>Dana Catron</t>
  </si>
  <si>
    <t>(505) 469-8411</t>
  </si>
  <si>
    <t>Boulder, CO</t>
  </si>
  <si>
    <t>2019/08/16</t>
  </si>
  <si>
    <t>Sharon King</t>
  </si>
  <si>
    <t>(303) 442-1475, ext. 3</t>
  </si>
  <si>
    <t>Power-Dense High-Efficiency Engine-Coolant-Capable 200 kW Silicon Carbide Inverter for Heavy-Duty Vehicles</t>
  </si>
  <si>
    <t>Carb-Inv</t>
  </si>
  <si>
    <t>2019/08/14  11:00 – 12:30 EDT</t>
  </si>
  <si>
    <t>Brij-Singh.png    96 x 147</t>
  </si>
  <si>
    <t>John Deere has formed a collaboration &amp;hellip; to develop a 200 kW 1050 VDC silicon carbide (SiC) dual-inverter.</t>
  </si>
  <si>
    <t>Complementary Webinar:  Why Hydrogen and Fuel Cells Make Sense for Commercial Transportation</t>
  </si>
  <si>
    <t>H+FC</t>
  </si>
  <si>
    <t>2019/08/14  16:00 EDT</t>
  </si>
  <si>
    <t xml:space="preserve">Tesla Tech Art Camp </t>
  </si>
  <si>
    <t>Tech-Art</t>
  </si>
  <si>
    <t>Setauket, NY</t>
  </si>
  <si>
    <t>2019/08/19 – 23</t>
  </si>
  <si>
    <t>Tesla-Tech-Art-Camp.png   68 x 129</t>
  </si>
  <si>
    <t>Discover the connections between art and technology!&amp;nbsp; &amp;hellip;&amp;nbsp;encourage students to take thoughtful risks as we explore the Design Thinking process.</t>
  </si>
  <si>
    <t>Limited to no more than 15 youngsters, 10 – 18 years of age.</t>
  </si>
  <si>
    <t>$500 for all five days, including all materials.
Daily rate: $100.</t>
  </si>
  <si>
    <t>Tesla-Tech-Art-Camp-2.png              108 x 118</t>
  </si>
  <si>
    <t>Sibling discount available.</t>
  </si>
  <si>
    <t>AIAA Propulsion Energy Forum</t>
  </si>
  <si>
    <t>EATS</t>
  </si>
  <si>
    <t>Indianapolis, IN</t>
  </si>
  <si>
    <t>2019/08/19 – 22</t>
  </si>
  <si>
    <t>NASA-EP-40.png             184 x 114</t>
  </si>
  <si>
    <t>&amp;hellip; electric aircraft, hybrid rockets, automation, robotics, and hypersonics.</t>
  </si>
  <si>
    <t>Phil Ansell</t>
  </si>
  <si>
    <t>http://tec.ieee.org/events-calendar/</t>
  </si>
  <si>
    <t>AIAA/IEEE Electric Aircraft Technologies Symposium (EATS)</t>
  </si>
  <si>
    <t>2019/08/22 – 24</t>
  </si>
  <si>
    <t>&amp;hellip; non-traditional aircraft propulsion using electric, turboelectric or hybrid-electric powertrains.</t>
  </si>
  <si>
    <t>Andy Gibson</t>
  </si>
  <si>
    <t>Learn how PG&amp;E Can Help Fleets Save Money with Electrification</t>
  </si>
  <si>
    <t>PGE-EV-Fleet</t>
  </si>
  <si>
    <t>2019/08/22  13:00 EDT</t>
  </si>
  <si>
    <t>ACT-Webinar-1.png   276 x 120</t>
  </si>
  <si>
    <t>INTRO TO THE EV FLEET PROGRAM
Learn how PG&amp;E’s EV Fleet program helps fleet managers easily and cost-effectively install charging infrastructure.</t>
  </si>
  <si>
    <r>
      <rPr>
        <b/>
        <sz val="11"/>
        <color indexed="8"/>
        <rFont val="Calibri"/>
        <family val="2"/>
      </rPr>
      <t>Natalia Swalnick</t>
    </r>
    <r>
      <rPr>
        <sz val="11"/>
        <color indexed="8"/>
        <rFont val="Calibri"/>
        <family val="2"/>
      </rPr>
      <t>, Director, Electric Vehicle and Smart Mobility Programs, Electrification Coalition</t>
    </r>
  </si>
  <si>
    <r>
      <rPr>
        <b/>
        <sz val="11"/>
        <color indexed="8"/>
        <rFont val="Calibri"/>
        <family val="2"/>
      </rPr>
      <t>David Almeida</t>
    </r>
    <r>
      <rPr>
        <sz val="11"/>
        <color indexed="8"/>
        <rFont val="Calibri"/>
        <family val="2"/>
      </rPr>
      <t>, Clean Transportation Strategy Manager</t>
    </r>
  </si>
  <si>
    <r>
      <rPr>
        <b/>
        <sz val="11"/>
        <color indexed="8"/>
        <rFont val="Calibri"/>
        <family val="2"/>
      </rPr>
      <t>Tim O'Neill</t>
    </r>
    <r>
      <rPr>
        <sz val="11"/>
        <color indexed="8"/>
        <rFont val="Calibri"/>
        <family val="2"/>
      </rPr>
      <t>, Electric Vehicle Onboarding, Pacific Gas and Electric Company</t>
    </r>
  </si>
  <si>
    <t>Mobilize California Summit</t>
  </si>
  <si>
    <t>Mobilize-CA</t>
  </si>
  <si>
    <t>Temecula, CA</t>
  </si>
  <si>
    <t>2019/08/23 – 24</t>
  </si>
  <si>
    <t>Mobilize-CA.png          363 x 111</t>
  </si>
  <si>
    <t>&amp;hellip; premier fleet modernization, alternative fuels, and workforce training event &amp;hellip;</t>
  </si>
  <si>
    <t>Event details &amp; registration</t>
  </si>
  <si>
    <t>Programming</t>
  </si>
  <si>
    <t>Media</t>
  </si>
  <si>
    <t>2019/08/24  18:30 – 21:30</t>
  </si>
  <si>
    <t>2019 JSAE/SAE Powertrains, Fuels, and Lubricants Meeting</t>
  </si>
  <si>
    <t>Lube</t>
  </si>
  <si>
    <t>Kyoto, Japan</t>
  </si>
  <si>
    <t>2019/08/26 – 29</t>
  </si>
  <si>
    <t>Kyoto.png         91 x 146</t>
  </si>
  <si>
    <t>(Includes a section on Hybrid &amp; Electric Powertrains)</t>
  </si>
  <si>
    <t>Society of Automotive Engineers of Japan</t>
  </si>
  <si>
    <t>Welcome Party 08/25</t>
  </si>
  <si>
    <t>Tesla Club/ Science After Hours</t>
  </si>
  <si>
    <t>After-Hours</t>
  </si>
  <si>
    <t>Philadelphia, PA</t>
  </si>
  <si>
    <t>2019/08/27  19:00 – 22:00</t>
  </si>
  <si>
    <t>Tesla-Postcard.png  200 x 120</t>
  </si>
  <si>
    <t>At the Franklin Institute</t>
  </si>
  <si>
    <t>Drive World Conference &amp; Expo (new for 2019)</t>
  </si>
  <si>
    <t>Drive-World</t>
  </si>
  <si>
    <t>2019/08/27 – 29</t>
  </si>
  <si>
    <t>Drive-World-Expo.png      168 x 79</t>
  </si>
  <si>
    <t>&amp;hellip; brings together the brightest minds across the automotive electronics and embedded systems industries &amp;hellip;</t>
  </si>
  <si>
    <t>Advanced Design and Manufacturing Events</t>
  </si>
  <si>
    <t>Webinar:  Frontloading BEV Thermal and Range Development via Simulation</t>
  </si>
  <si>
    <t>BEV-T-R</t>
  </si>
  <si>
    <t>2019/08/28  10:00 EDT</t>
  </si>
  <si>
    <t>Vivek-Jaikamal.png    96 x 141</t>
  </si>
  <si>
    <t>Thermal management and vehicle range evaluation are challenging aspects &amp;hellip; of battery electric vehicles (BEVs).</t>
  </si>
  <si>
    <t>Vivek Jaikamal &amp;ndash; Business Development Manager at AVL</t>
  </si>
  <si>
    <t>TRB Free Webinar: The Research in Progress (RiP) Database: Entering Projects and Searching Records</t>
  </si>
  <si>
    <t>RiP</t>
  </si>
  <si>
    <t>2019/08/28 14:00 – 15:00 EDT</t>
  </si>
  <si>
    <t>Ferrell-Daly.png      208 x 118</t>
  </si>
  <si>
    <t xml:space="preserve">The RiP Database is a leading tool for transportation professionals to stay updated &amp;hellip; </t>
  </si>
  <si>
    <r>
      <rPr>
        <sz val="11"/>
        <rFont val="Calibri"/>
        <family val="2"/>
      </rPr>
      <t xml:space="preserve">Presenter:  </t>
    </r>
    <r>
      <rPr>
        <b/>
        <sz val="11"/>
        <rFont val="Calibri"/>
        <family val="2"/>
      </rPr>
      <t>Janet Daly</t>
    </r>
  </si>
  <si>
    <r>
      <rPr>
        <sz val="11"/>
        <rFont val="Calibri"/>
        <family val="2"/>
      </rPr>
      <t xml:space="preserve">Moderator:  </t>
    </r>
    <r>
      <rPr>
        <b/>
        <sz val="11"/>
        <rFont val="Calibri"/>
        <family val="2"/>
      </rPr>
      <t>Elaine Ferrell</t>
    </r>
  </si>
  <si>
    <t>An Electric Idea: Nikola Tesla&amp;rsquo;s New York Laboratory</t>
  </si>
  <si>
    <t>Griffith</t>
  </si>
  <si>
    <t>2019/08/28  19:30 – 21:30 PDT</t>
  </si>
  <si>
    <t>Griffith.png   209 x 122</t>
  </si>
  <si>
    <t>&amp;hellip;  a unique talk on the life and work of one of history’s most influential and enigmatic inventors: Nikola Tesla.</t>
  </si>
  <si>
    <r>
      <rPr>
        <b/>
        <sz val="11"/>
        <color indexed="8"/>
        <rFont val="Calibri"/>
        <family val="2"/>
      </rPr>
      <t>Marc Alessi</t>
    </r>
    <r>
      <rPr>
        <sz val="11"/>
        <color indexed="8"/>
        <rFont val="Calibri"/>
        <family val="2"/>
      </rPr>
      <t>, Executive Director of TSCW.</t>
    </r>
  </si>
  <si>
    <t>2019 Asilomar Biennial Conference &amp;ndash; Transportation Innovation and Policy in a Fragmenting World</t>
  </si>
  <si>
    <t>Asilomar</t>
  </si>
  <si>
    <t>Davis, CA</t>
  </si>
  <si>
    <t>2019/08/20 – 23</t>
  </si>
  <si>
    <t>Davis-Bicycle.png     134 x 110</t>
  </si>
  <si>
    <t>&amp;hellip; respon[se to] the Paris climate conference &amp;hellip; that transportation &amp;hellip; has not received enough attention.</t>
  </si>
  <si>
    <t>Steve Kulieke</t>
  </si>
  <si>
    <t>c1602-19-8</t>
  </si>
  <si>
    <t>2019/08/29</t>
  </si>
  <si>
    <t>Peer-to-Peer</t>
  </si>
  <si>
    <t>2019/08/29  13:00 EDT</t>
  </si>
  <si>
    <t>ACT-Webinar-2.png            253 x 120</t>
  </si>
  <si>
    <t>PEER-TO-PEER LEARNING
Hear from fleet managers that have successfully deployed EVs leveraging the EV Fleet program.</t>
  </si>
  <si>
    <r>
      <rPr>
        <b/>
        <sz val="11"/>
        <color indexed="8"/>
        <rFont val="Calibri"/>
        <family val="2"/>
      </rPr>
      <t>Justin Sadler</t>
    </r>
    <r>
      <rPr>
        <sz val="11"/>
        <color indexed="8"/>
        <rFont val="Calibri"/>
        <family val="2"/>
      </rPr>
      <t>, Manager of Project Delivery, Clean Energy Transportation, Pacific Gas and Electric Company</t>
    </r>
  </si>
  <si>
    <r>
      <rPr>
        <b/>
        <sz val="11"/>
        <color indexed="8"/>
        <rFont val="Calibri"/>
        <family val="2"/>
      </rPr>
      <t>Alan Glass</t>
    </r>
    <r>
      <rPr>
        <sz val="11"/>
        <color indexed="8"/>
        <rFont val="Calibri"/>
        <family val="2"/>
      </rPr>
      <t>, School District Energy Supervisor, Pittsburgh Unified School District</t>
    </r>
  </si>
  <si>
    <r>
      <rPr>
        <b/>
        <sz val="11"/>
        <color indexed="8"/>
        <rFont val="Calibri"/>
        <family val="2"/>
      </rPr>
      <t>Chris Nordh</t>
    </r>
    <r>
      <rPr>
        <sz val="11"/>
        <color indexed="8"/>
        <rFont val="Calibri"/>
        <family val="2"/>
      </rPr>
      <t>, Sr. Director, Advanced Vehicle Technology &amp; Energy Products, Ryder</t>
    </r>
  </si>
  <si>
    <t>C1527-19-9</t>
  </si>
  <si>
    <t>2019/09/04 – 05</t>
  </si>
  <si>
    <t>In order to meet current and future demands in the HEV and PHEV markets, success will depend on engineering personnel knowing how to develop and manufacture HEV powertrains.</t>
  </si>
  <si>
    <t>Full Fee:  $1,335 – membership and multi-course discounts available</t>
  </si>
  <si>
    <t>2019 IEEE International Conference on Vehicular Electronics and Safety</t>
  </si>
  <si>
    <t>ICVES</t>
  </si>
  <si>
    <t>Cairo, Egypt</t>
  </si>
  <si>
    <t>2019/09/04 – 06</t>
  </si>
  <si>
    <t>ICVES-2019.png       183 x 251</t>
  </si>
  <si>
    <t>&amp;hellip; intelligent vehicular electronics and safety.</t>
  </si>
  <si>
    <t>Stacking Incentives to Buy Down the Cost of Fleet Electrification</t>
  </si>
  <si>
    <t>Incentives</t>
  </si>
  <si>
    <t>2019/09/05  13:00 EDT</t>
  </si>
  <si>
    <t>ACT-Webinar-3.png            367 x 120</t>
  </si>
  <si>
    <t>STACKING INCENTIVES AND REBATES
Find additional incentives and rebates that drive down the cost of EVs and charging infrastructure.</t>
  </si>
  <si>
    <r>
      <rPr>
        <b/>
        <sz val="11"/>
        <color indexed="8"/>
        <rFont val="Calibri"/>
        <family val="2"/>
      </rPr>
      <t>Joe Annotti</t>
    </r>
    <r>
      <rPr>
        <sz val="11"/>
        <color indexed="8"/>
        <rFont val="Calibri"/>
        <family val="2"/>
      </rPr>
      <t>, Vice President, Programs, Gladstein, Neandross &amp; Associates</t>
    </r>
  </si>
  <si>
    <r>
      <rPr>
        <b/>
        <sz val="11"/>
        <color indexed="8"/>
        <rFont val="Calibri"/>
        <family val="2"/>
      </rPr>
      <t>Michelle Buffington</t>
    </r>
    <r>
      <rPr>
        <sz val="11"/>
        <color indexed="8"/>
        <rFont val="Calibri"/>
        <family val="2"/>
      </rPr>
      <t>, Incentives Section Manager, California Air Resources Board</t>
    </r>
  </si>
  <si>
    <r>
      <rPr>
        <b/>
        <sz val="11"/>
        <color indexed="8"/>
        <rFont val="Calibri"/>
        <family val="2"/>
      </rPr>
      <t>Adam Shapiro</t>
    </r>
    <r>
      <rPr>
        <sz val="11"/>
        <color indexed="8"/>
        <rFont val="Calibri"/>
        <family val="2"/>
      </rPr>
      <t>, Staff Specialist and Strategic Incentives, Bay Area Air Quality Management District</t>
    </r>
  </si>
  <si>
    <r>
      <rPr>
        <b/>
        <sz val="11"/>
        <color indexed="8"/>
        <rFont val="Calibri"/>
        <family val="2"/>
      </rPr>
      <t>Sarah Swickard</t>
    </r>
    <r>
      <rPr>
        <sz val="11"/>
        <color indexed="8"/>
        <rFont val="Calibri"/>
        <family val="2"/>
      </rPr>
      <t>, EV Regulatory and Strategy Manager, Pacific Gas and Electric Company</t>
    </r>
  </si>
  <si>
    <t>Electric &amp; Hybrid Vehicle Technology Expo</t>
  </si>
  <si>
    <t>EVTech</t>
  </si>
  <si>
    <t>2019/09/10 – 12</t>
  </si>
  <si>
    <t>&amp;hellip; learn about up-to-the-minute innovations, access high-quality education, and network with peers.</t>
  </si>
  <si>
    <t>Colocated with next event</t>
  </si>
  <si>
    <r>
      <rPr>
        <b/>
        <sz val="11"/>
        <color indexed="8"/>
        <rFont val="Calibri"/>
        <family val="2"/>
      </rPr>
      <t xml:space="preserve">Yes </t>
    </r>
    <r>
      <rPr>
        <sz val="11"/>
        <color indexed="8"/>
        <rFont val="Calibri"/>
        <family val="2"/>
      </rPr>
      <t>?</t>
    </r>
  </si>
  <si>
    <t>The Battery Show</t>
  </si>
  <si>
    <t>BatteryShow</t>
  </si>
  <si>
    <t>Battery-Show-2019NA.png    213 x 45</t>
  </si>
  <si>
    <t>Colocated with previous event</t>
  </si>
  <si>
    <t>Yes ?</t>
  </si>
  <si>
    <t>US Army SBIR Industry Day</t>
  </si>
  <si>
    <t>Army-SBIR</t>
  </si>
  <si>
    <t>Chapel Hill, NC</t>
  </si>
  <si>
    <t>2019/09/10</t>
  </si>
  <si>
    <t>NC-Friday-Center.png   95 x 98</t>
  </si>
  <si>
    <t>&amp;hellip; to further delineate Army requirements and stimulate small business/research institute partnership-building.</t>
  </si>
  <si>
    <t>ERTICO&amp;rsquo;s 2019 Think Tank</t>
  </si>
  <si>
    <t>Think-Tank</t>
  </si>
  <si>
    <t>2019/09/12</t>
  </si>
  <si>
    <t>Think-Tank.png         261 x 65</t>
  </si>
  <si>
    <t>&amp;hellip;  is All About Urban Mobility</t>
  </si>
  <si>
    <t>First Half (until 15:00) is private for Partners only.</t>
  </si>
  <si>
    <t>National Drive Electric Week</t>
  </si>
  <si>
    <t>ElecDriveWeek</t>
  </si>
  <si>
    <t>Various Locations</t>
  </si>
  <si>
    <t>2019/09/14 – 22</t>
  </si>
  <si>
    <t>&amp;hellip; a nationwide celebration to heighten awareness of today's widespread availability of plug-in vehicles and highlight the[ir] benefits &amp;hellip;</t>
  </si>
  <si>
    <t>The 14&lt;sup&gt;th&lt;/sup&gt; International Conference on Engines &amp; Vehicles</t>
  </si>
  <si>
    <t>ICE2019</t>
  </si>
  <si>
    <t>Capri, Napoli, Italy</t>
  </si>
  <si>
    <t>2019/09/15 – 19</t>
  </si>
  <si>
    <t>ICE2019.png 165 x 80</t>
  </si>
  <si>
    <t>SBIR Road Tour &amp;ndash; Eastern</t>
  </si>
  <si>
    <t>SBIR-Eastern-Road-Tour</t>
  </si>
  <si>
    <t>2019/09/16 – 20</t>
  </si>
  <si>
    <t>Corine Farewell</t>
  </si>
  <si>
    <t>mailto:corine.farewell@med.uvm.edu</t>
  </si>
  <si>
    <t>Organizational (Co)-Hosts &amp; Sponsors</t>
  </si>
  <si>
    <t>Burlington, VT</t>
  </si>
  <si>
    <t>2019/09/16</t>
  </si>
  <si>
    <t>Albany, NY</t>
  </si>
  <si>
    <t>2019/09/17</t>
  </si>
  <si>
    <t>Kate Baker</t>
  </si>
  <si>
    <t>(518) 380-5073</t>
  </si>
  <si>
    <t>New Brunswick, NJ</t>
  </si>
  <si>
    <t>2019/09/18</t>
  </si>
  <si>
    <t>Randy Harmon</t>
  </si>
  <si>
    <t>Schedule page:  http://www.sbirroadtour.com/dates.php</t>
  </si>
  <si>
    <t>University Park, PA</t>
  </si>
  <si>
    <t>2019/09/19</t>
  </si>
  <si>
    <t>Kelly Driftmier</t>
  </si>
  <si>
    <t>(814) 865-9202</t>
  </si>
  <si>
    <t>mailto:kmd5315@psu.edu</t>
  </si>
  <si>
    <t>College Park, MD</t>
  </si>
  <si>
    <t>2019/09/20</t>
  </si>
  <si>
    <t>Alla McCoy</t>
  </si>
  <si>
    <t>Volpe Webinar:  Globally Integrated Logistics and the Changing Character of War</t>
  </si>
  <si>
    <t>Lyons</t>
  </si>
  <si>
    <t>2019/09/17 12:00 – 12:45</t>
  </si>
  <si>
    <t>Stephen-Lyons.png        92 x 125</t>
  </si>
  <si>
    <r>
      <rPr>
        <b/>
        <sz val="11"/>
        <rFont val="Calibri"/>
        <family val="2"/>
      </rPr>
      <t>U.S. Army General Stephen R. Lyons</t>
    </r>
    <r>
      <rPr>
        <sz val="11"/>
        <rFont val="Calibri"/>
        <family val="2"/>
      </rPr>
      <t>, U.S. Transportation Command</t>
    </r>
  </si>
  <si>
    <t>Connect2Car Executive Leadership Forum</t>
  </si>
  <si>
    <t>2018/09/17 – 20</t>
  </si>
  <si>
    <t>C2C.png         158 x 90</t>
  </si>
  <si>
    <t>A Meeting of Minds, A Merging of Ideas</t>
  </si>
  <si>
    <t>Emobility Forum 2019</t>
  </si>
  <si>
    <t>Emob-Forum</t>
  </si>
  <si>
    <t>Budapest, Hungary</t>
  </si>
  <si>
    <t>2019/09/18 – 19</t>
  </si>
  <si>
    <t>HungElectroMobAssoc.png   232 x 75</t>
  </si>
  <si>
    <t>&amp;hellip; biggest regional &amp;hellip; trade fair and professional conference of the electromobility sector &amp;hellip;</t>
  </si>
  <si>
    <t>Hungarian Electromobility Association</t>
  </si>
  <si>
    <t>North American International Powertrain Conference</t>
  </si>
  <si>
    <t>NAIPC</t>
  </si>
  <si>
    <t>Chicago-city.png          69 x 117</t>
  </si>
  <si>
    <t>By invitation only. &amp;hellip; From Internal Combustion to Electrified Propulsion: Finding New Global Equilibriums</t>
  </si>
  <si>
    <t>Volpe Webinar:  An Inclusive Vision of Intelligent Transportation</t>
  </si>
  <si>
    <t>Kaufman</t>
  </si>
  <si>
    <t>2019/09/19 12:00 – 12:45</t>
  </si>
  <si>
    <t>Sarah-Kaufman.png      97 x 125</t>
  </si>
  <si>
    <r>
      <rPr>
        <b/>
        <sz val="11"/>
        <rFont val="Calibri"/>
        <family val="2"/>
      </rPr>
      <t>Sarah Kaufman</t>
    </r>
    <r>
      <rPr>
        <sz val="11"/>
        <rFont val="Calibri"/>
        <family val="2"/>
      </rPr>
      <t>, Associate Director/Adjunct Assistant Professor of Urban Planning, NYU</t>
    </r>
  </si>
  <si>
    <t>2019 Joint Conference &amp; Exhibition</t>
  </si>
  <si>
    <t>Halifax</t>
  </si>
  <si>
    <t>Halifax, NS, Canada</t>
  </si>
  <si>
    <t>2019/09/22 – 25</t>
  </si>
  <si>
    <t>Halifax-Conv.png         78 x 90</t>
  </si>
  <si>
    <t>&amp;hellip; an innovation catalyst to make progress on emerging and critical issues that touch on safety, mobility and technology.</t>
  </si>
  <si>
    <t>The 2019 International Conference on Ecology and Transportation</t>
  </si>
  <si>
    <t>ICOET</t>
  </si>
  <si>
    <t>Sacramento, CA</t>
  </si>
  <si>
    <t>2019/09/22 – 26</t>
  </si>
  <si>
    <t>ICOET-2019.png      124 x 126</t>
  </si>
  <si>
    <t>&amp;hellip; the foremost interdisciplinary, interagency supported conference addressing the broad range of ecological issues related to transportation systems in all modes.</t>
  </si>
  <si>
    <t>Fraser Shilling</t>
  </si>
  <si>
    <t>530-752-7859</t>
  </si>
  <si>
    <t>2019/04/19 (extended)</t>
  </si>
  <si>
    <t>Camera-Trap Photo Contest (open to attendees and presenters only)</t>
  </si>
  <si>
    <t>2019/08/02, extended from 07/31</t>
  </si>
  <si>
    <t>2019 IEEE 90&lt;sup&gt;th&lt;/sup&gt; Vehicular Technology Conference: VTC2019-Fall</t>
  </si>
  <si>
    <t>VTC-Fall</t>
  </si>
  <si>
    <t>Honolulu, HI</t>
  </si>
  <si>
    <t>Intelligent Connection &amp; Transportation</t>
  </si>
  <si>
    <t>Contact the Committees</t>
  </si>
  <si>
    <t>IEEE Vehicular Technology Society</t>
  </si>
  <si>
    <t>Yes, for NSF Student Travel Grants</t>
  </si>
  <si>
    <t>Recent-Results Track</t>
  </si>
  <si>
    <t>2-pg ab- stract (with results), or 5-pg full paper, extra fee for 6 or 7 pages, due:  2019/06/24, extended from 06/17</t>
  </si>
  <si>
    <t>Gerhard Bauch, Chair</t>
  </si>
  <si>
    <t>Call for Workshop Proposals:  http://www.ieeevtc.org/vtc2019fall/cfw.php</t>
  </si>
  <si>
    <t>Call for Workshop Papers:  http://www.ieeevtc.org/vtc2019fall/cfw.php</t>
  </si>
  <si>
    <t>mailto:vtc2019fall_workshops@ieeevtc.org</t>
  </si>
  <si>
    <t>5-page paper only:  2019/07/08, extended from 06/24,  06/17 and 05/30</t>
  </si>
  <si>
    <t>Call for Tutorials:  http://www.ieeevtc.org/vtc2019fall/cft.php</t>
  </si>
  <si>
    <t>Brief descriptions due: 2019/03/18</t>
  </si>
  <si>
    <t>2&lt;sup&gt;nd&lt;/sup&gt; IEEE Connected and Automated Vehicles Symposium</t>
  </si>
  <si>
    <t>2019/09/22 – 23</t>
  </si>
  <si>
    <t>IEEE-CAVs.png   110 x 64</t>
  </si>
  <si>
    <t>&amp;hellip; vehicle technology has entered a new era of connected and automated vehicles (CAVs).</t>
  </si>
  <si>
    <t>C1504-19-9</t>
  </si>
  <si>
    <t>2019/09/23 – 25</t>
  </si>
  <si>
    <t>SAE Free Webinar:  Using Portable Scenarios and Coverage Metrics to Ensure Autonomous Vehicles and ADAS Safety</t>
  </si>
  <si>
    <t>Port-Scen</t>
  </si>
  <si>
    <t>2019/09/23  10:00 – 11:00 EDT</t>
  </si>
  <si>
    <t>Hollander-Binyamini-Arrigo.png    269 x 120</t>
  </si>
  <si>
    <r>
      <rPr>
        <b/>
        <sz val="11"/>
        <color indexed="8"/>
        <rFont val="Calibri"/>
        <family val="2"/>
      </rPr>
      <t>Yoav Hollander</t>
    </r>
    <r>
      <rPr>
        <sz val="11"/>
        <color indexed="8"/>
        <rFont val="Calibri"/>
        <family val="2"/>
      </rPr>
      <t>, Founder and CTO, Fortellix</t>
    </r>
  </si>
  <si>
    <r>
      <rPr>
        <b/>
        <sz val="11"/>
        <color indexed="8"/>
        <rFont val="Calibri"/>
        <family val="2"/>
      </rPr>
      <t>Ziv Binyamini</t>
    </r>
    <r>
      <rPr>
        <sz val="11"/>
        <color indexed="8"/>
        <rFont val="Calibri"/>
        <family val="2"/>
      </rPr>
      <t>, CEO and Co-Founder, Fortellix</t>
    </r>
  </si>
  <si>
    <r>
      <rPr>
        <sz val="11"/>
        <color indexed="8"/>
        <rFont val="Calibri"/>
        <family val="2"/>
      </rPr>
      <t xml:space="preserve">Moderator:  </t>
    </r>
    <r>
      <rPr>
        <b/>
        <sz val="11"/>
        <color indexed="8"/>
        <rFont val="Calibri"/>
        <family val="2"/>
      </rPr>
      <t>Lisa Arrigo</t>
    </r>
  </si>
  <si>
    <t>SAE Free Webinar:  Impact of Autonomous and Electric Vehicles in New Product Development</t>
  </si>
  <si>
    <t>Impact-NPD</t>
  </si>
  <si>
    <t>2019/09/24 13:30 – 14:00 EDT</t>
  </si>
  <si>
    <t>Kayman-Arrigo.png   184 x 115</t>
  </si>
  <si>
    <r>
      <rPr>
        <b/>
        <sz val="11"/>
        <color indexed="8"/>
        <rFont val="Calibri"/>
        <family val="2"/>
      </rPr>
      <t>Chad Kayman</t>
    </r>
    <r>
      <rPr>
        <sz val="11"/>
        <color indexed="8"/>
        <rFont val="Calibri"/>
        <family val="2"/>
      </rPr>
      <t>, Founder and CTO, OmNex</t>
    </r>
  </si>
  <si>
    <t>Free Webinar:  Battery Intelligence Systems Tutorial Course 1/3: Introducing Battery Intelligence Systems (BIS)</t>
  </si>
  <si>
    <t>BIS-1</t>
  </si>
  <si>
    <t>2019/09/25 10:00 – 11:00 EDT</t>
  </si>
  <si>
    <t>Tal-Sholklapper.png   89 x 120</t>
  </si>
  <si>
    <r>
      <rPr>
        <b/>
        <sz val="11"/>
        <rFont val="Calibri"/>
        <family val="2"/>
      </rPr>
      <t>Dr. Tal Sholklapper</t>
    </r>
    <r>
      <rPr>
        <sz val="11"/>
        <rFont val="Calibri"/>
        <family val="2"/>
      </rPr>
      <t>, CEO at Voltaiq</t>
    </r>
  </si>
  <si>
    <t>SAE Free Webinar:  Connectivity Solutions for Robust Data Transmission in Future Vehicle Wiring Systems</t>
  </si>
  <si>
    <t>Robust</t>
  </si>
  <si>
    <t>2019/09/25 11:00 – 12:00 EDT</t>
  </si>
  <si>
    <t>Rusch-Arrigo.png   186 x 120</t>
  </si>
  <si>
    <r>
      <rPr>
        <b/>
        <sz val="11"/>
        <color indexed="8"/>
        <rFont val="Calibri"/>
        <family val="2"/>
      </rPr>
      <t>Christian Rusch</t>
    </r>
    <r>
      <rPr>
        <sz val="11"/>
        <color indexed="8"/>
        <rFont val="Calibri"/>
        <family val="2"/>
      </rPr>
      <t>, Manager R&amp;D Data Connectivity, TE Connectivity Germany GmbH</t>
    </r>
  </si>
  <si>
    <t>SAE Free Webinar:  Autonomous Vehicles Sensors: How to Ensure They Work Well and Stay Clean</t>
  </si>
  <si>
    <t>AV-Sensors</t>
  </si>
  <si>
    <t>2019/09/25 12:00 – 12:30 EDT</t>
  </si>
  <si>
    <t>Troescher-Jilesen-Letailleur-Bell.png        340 x 120</t>
  </si>
  <si>
    <r>
      <rPr>
        <b/>
        <sz val="11"/>
        <color indexed="8"/>
        <rFont val="Calibri"/>
        <family val="2"/>
      </rPr>
      <t>Matthias Troescher</t>
    </r>
    <r>
      <rPr>
        <sz val="11"/>
        <color indexed="8"/>
        <rFont val="Calibri"/>
        <family val="2"/>
      </rPr>
      <t>, Business Development Executive, DS SIMULIA, Dassault Syst&amp;egrave;mes</t>
    </r>
  </si>
  <si>
    <r>
      <rPr>
        <b/>
        <sz val="11"/>
        <rFont val="Calibri"/>
        <family val="2"/>
      </rPr>
      <t>Jonathan Jilesen</t>
    </r>
    <r>
      <rPr>
        <sz val="11"/>
        <rFont val="Calibri"/>
        <family val="2"/>
      </rPr>
      <t>, Senior Solution Consultant, SIMULIA Transportation &amp; Mobility Strategic Initialtives, Dassault Syst&amp;egrave;mes</t>
    </r>
  </si>
  <si>
    <r>
      <rPr>
        <sz val="11"/>
        <rFont val="Calibri"/>
        <family val="2"/>
      </rPr>
      <t xml:space="preserve">Moderator:  </t>
    </r>
    <r>
      <rPr>
        <b/>
        <sz val="11"/>
        <rFont val="Calibri"/>
        <family val="2"/>
      </rPr>
      <t>Linda Bell</t>
    </r>
    <r>
      <rPr>
        <sz val="11"/>
        <rFont val="Calibri"/>
        <family val="2"/>
      </rPr>
      <t>, Editorial Director</t>
    </r>
  </si>
  <si>
    <t>Volpe Webinar:  Redefining Mobility</t>
  </si>
  <si>
    <t>Iwasaki</t>
  </si>
  <si>
    <t>2019/09/25 12:00 – 12:45</t>
  </si>
  <si>
    <t>Randell-H-Iwasaki.png        82 x 142</t>
  </si>
  <si>
    <r>
      <rPr>
        <b/>
        <sz val="11"/>
        <rFont val="Calibri"/>
        <family val="2"/>
      </rPr>
      <t>Randell H. Iwasaki</t>
    </r>
    <r>
      <rPr>
        <sz val="11"/>
        <rFont val="Calibri"/>
        <family val="2"/>
      </rPr>
      <t>, Executive Director, Contra Costa, CA, Transportation Authority</t>
    </r>
  </si>
  <si>
    <t>https://www.volpe.dot.gov/events/our-new-mobility-future</t>
  </si>
  <si>
    <t>C1732-19-9</t>
  </si>
  <si>
    <t>2019/09/26</t>
  </si>
  <si>
    <t>A Night for Tesla &amp; Wardenclyffe</t>
  </si>
  <si>
    <t>Tesla-Night</t>
  </si>
  <si>
    <t>St. James, NY</t>
  </si>
  <si>
    <t>2019/09/26  18:30 – 22:00</t>
  </si>
  <si>
    <t>Tesla-Night.png   158 x 106</t>
  </si>
  <si>
    <t>Tesla Science Center at Wardenclyffe's First Annual Gala  (Fundraiser)</t>
  </si>
  <si>
    <t>$225 for Members; $250 for Non-Members</t>
  </si>
  <si>
    <t>Webinar:  Learn About C-ITS Training</t>
  </si>
  <si>
    <t>C-ITS</t>
  </si>
  <si>
    <t>Lisbon, Portugal</t>
  </si>
  <si>
    <t>2019/09/30  11:00 – 12:00 CET</t>
  </si>
  <si>
    <t>C-ITS.png     200 x 100</t>
  </si>
  <si>
    <t>Ertico – ITS-Europe</t>
  </si>
  <si>
    <t>IEEE SAFENETS Workshop (Situational Awareness For Emerging Network Enabled Transportation Systems)</t>
  </si>
  <si>
    <t>SAFENETS</t>
  </si>
  <si>
    <t>Lowell, MA</t>
  </si>
  <si>
    <t>2019/10/01  08:00 – 18:00 EDT</t>
  </si>
  <si>
    <t>&amp;hellip; data fusion and situational awareness applied to emerging autonomous and intelligent transportation systems.</t>
  </si>
  <si>
    <t>Fee:  $199.99
$40 off for VTS members.</t>
  </si>
  <si>
    <t>ISSE 2019 (IEEE Symposium on Systems Engineering)</t>
  </si>
  <si>
    <t>ISSE</t>
  </si>
  <si>
    <t>2019/10/01 – 03</t>
  </si>
  <si>
    <t>ISSE-19.png  375 x 286</t>
  </si>
  <si>
    <t xml:space="preserve"> &amp;hellip;  multiple disciplines and specialty areas associated with the engineering of complex systems.</t>
  </si>
  <si>
    <t>Abstract (Industry papers) &amp;  Manuscript (Academic/Research  papers) submission:  2019/05/24 extended from 04/26</t>
  </si>
  <si>
    <t>New Haven, CT</t>
  </si>
  <si>
    <t>2019/10/02        09:00 – 16:00 (NIH)</t>
  </si>
  <si>
    <t>&amp;hellip; detailed instruction on How to write a competitive proposal for the NIH and NSF SBIR/STTR programs.</t>
  </si>
  <si>
    <t>Johnna Scott</t>
  </si>
  <si>
    <t>(860) 258-7807</t>
  </si>
  <si>
    <t>2019/10/03        09:00 – 16:00 (DoD)</t>
  </si>
  <si>
    <t>Electric Vehicles International Conference &amp; Show</t>
  </si>
  <si>
    <t>EV2019</t>
  </si>
  <si>
    <t>ICPE Solar Park, Bucharest, Romania</t>
  </si>
  <si>
    <t>2019/10/03 – 04</t>
  </si>
  <si>
    <t>EV2019.png       273 x 59</t>
  </si>
  <si>
    <t>&amp;hellip;  a hub for electric mobility professionals and also for electric cars enthusiasts.</t>
  </si>
  <si>
    <t>2019/04/30 re-extended from 04/15, 04/01 and 01/31</t>
  </si>
  <si>
    <t>Association for Promoting Electric Vehicles in Romania</t>
  </si>
  <si>
    <r>
      <rPr>
        <sz val="11"/>
        <color indexed="16"/>
        <rFont val="Calibri"/>
        <family val="2"/>
      </rPr>
      <t xml:space="preserve">12 Minutes in </t>
    </r>
    <r>
      <rPr>
        <b/>
        <sz val="11"/>
        <color indexed="16"/>
        <rFont val="Calibri"/>
        <family val="2"/>
      </rPr>
      <t>English</t>
    </r>
  </si>
  <si>
    <t>2019/10/01</t>
  </si>
  <si>
    <t>33.1” x 46.8”</t>
  </si>
  <si>
    <t>&lt;font style="font-variant: small-caps"&gt;PLUGandPLAY&lt;/font&gt;&amp;ndsh; Shaping the Connected Future (Free)</t>
  </si>
  <si>
    <t>Shaping</t>
  </si>
  <si>
    <t>Sunnyvale, CA</t>
  </si>
  <si>
    <t>2019/10/07   17:30 – 20:00 PDT</t>
  </si>
  <si>
    <t>PLUGandPLAY.png  156 x 128</t>
  </si>
  <si>
    <t>Join us for an evening of refreshments &amp; targeted discussion around smart cities, urban mobility, and shaping the connected future.</t>
  </si>
  <si>
    <t>WEBINAR SERIES:&amp;nbsp; NACFE&amp;rsquo;s Run on Less Technology Day:&amp;nbsp; Part 1: Hydrogen Fuel Cell</t>
  </si>
  <si>
    <t>NACFE-HFC</t>
  </si>
  <si>
    <t>2019/10/08  11:00 – 12:00 EDT</t>
  </si>
  <si>
    <t>Cherry-Peters-Mace-Blieske.png   348 x 120</t>
  </si>
  <si>
    <t>Is Hydrogen a Viable Truck Fuel?</t>
  </si>
  <si>
    <r>
      <rPr>
        <b/>
        <sz val="11"/>
        <color indexed="8"/>
        <rFont val="Calibri"/>
        <family val="2"/>
      </rPr>
      <t>Bill Cherry</t>
    </r>
    <r>
      <rPr>
        <sz val="11"/>
        <color indexed="8"/>
        <rFont val="Calibri"/>
        <family val="2"/>
      </rPr>
      <t>, Director of National Accounts, Nikola Motor Company</t>
    </r>
  </si>
  <si>
    <t>Act News Webinars</t>
  </si>
  <si>
    <r>
      <rPr>
        <b/>
        <sz val="11"/>
        <color indexed="8"/>
        <rFont val="Calibri"/>
        <family val="2"/>
      </rPr>
      <t>Michael Peters</t>
    </r>
    <r>
      <rPr>
        <sz val="11"/>
        <color indexed="8"/>
        <rFont val="Calibri"/>
        <family val="2"/>
      </rPr>
      <t>, Hydrogen Systems Researcher, National Renewable Energy Laboratory</t>
    </r>
  </si>
  <si>
    <r>
      <rPr>
        <b/>
        <sz val="11"/>
        <color indexed="8"/>
        <rFont val="Calibri"/>
        <family val="2"/>
      </rPr>
      <t>Alan Mace</t>
    </r>
    <r>
      <rPr>
        <sz val="11"/>
        <color indexed="8"/>
        <rFont val="Calibri"/>
        <family val="2"/>
      </rPr>
      <t>, Market Manager, Heavy Duty, Ballard Power Systems</t>
    </r>
  </si>
  <si>
    <r>
      <rPr>
        <b/>
        <sz val="11"/>
        <color indexed="8"/>
        <rFont val="Calibri"/>
        <family val="2"/>
      </rPr>
      <t>Matthew Blieske</t>
    </r>
    <r>
      <rPr>
        <sz val="11"/>
        <color indexed="8"/>
        <rFont val="Calibri"/>
        <family val="2"/>
      </rPr>
      <t>, Global Hydrogen Product Manager, Shell</t>
    </r>
  </si>
  <si>
    <t>Defense TechConnect Fall Summit and Expo</t>
  </si>
  <si>
    <t>DTCFall</t>
  </si>
  <si>
    <t>National Harbor, MD</t>
  </si>
  <si>
    <t>2019/10/08 – 10</t>
  </si>
  <si>
    <t>Defence-Innov-Tech-Accel.png     144 x 144</t>
  </si>
  <si>
    <t>Connecting the top DOD offices with the world's best technologies.</t>
  </si>
  <si>
    <t>Colocated with next two events</t>
  </si>
  <si>
    <t>Panel Proposals</t>
  </si>
  <si>
    <t>Poster Submission</t>
  </si>
  <si>
    <t>SBIR/STTR FALL Innovation Summit</t>
  </si>
  <si>
    <t>SBIR/STTR-Summit</t>
  </si>
  <si>
    <t>Fall SBIR-STTR Innovation-18.png           133 x 102</t>
  </si>
  <si>
    <t>Delivering Innovation &amp;ndash; Accelerating Commercialization &amp;ndash; Innovation &amp;bull; Investment &amp;bull; Acceleration</t>
  </si>
  <si>
    <t>Colocated with previous and next events</t>
  </si>
  <si>
    <t>https://events.techconnect.org/DTCFall/contact.html</t>
  </si>
  <si>
    <t>No ?</t>
  </si>
  <si>
    <t>Smart Cities Connect</t>
  </si>
  <si>
    <t>SmartCities</t>
  </si>
  <si>
    <t>SmartCitiesConnect.png         253 x 253</t>
  </si>
  <si>
    <t>Largest global energy &amp; transportation footprints</t>
  </si>
  <si>
    <t>Colocated with previous two events</t>
  </si>
  <si>
    <t>C1868-19-10</t>
  </si>
  <si>
    <t>Full Fee:  $1840  –  membership and multi-course discounts available</t>
  </si>
  <si>
    <t>European Transport Conference (ETC)</t>
  </si>
  <si>
    <t>ETC</t>
  </si>
  <si>
    <t>Dublin, Ireland</t>
  </si>
  <si>
    <t>2019/10/09 – 11</t>
  </si>
  <si>
    <t>ETC-2019.png   211 x 107</t>
  </si>
  <si>
    <t>&amp;hellip;  networking and exchange of ideas, information and opportunities amongst &amp;hellip; transport professionals and accademics.</t>
  </si>
  <si>
    <t>+44 (0) 15 64 793552</t>
  </si>
  <si>
    <t>2018/02/05</t>
  </si>
  <si>
    <t>Association for European Transport</t>
  </si>
  <si>
    <t>Free Webinar:  Battery Intelligence Systems Tutorial Course 2/3: Battery Intelligence in Research and Development (R&amp;D)</t>
  </si>
  <si>
    <t>BIS-2</t>
  </si>
  <si>
    <t>2019/10/09 10:00 – 11:00 EDT</t>
  </si>
  <si>
    <t>Transportation Camp Unconference  New York</t>
  </si>
  <si>
    <t>T-Camp-NYC</t>
  </si>
  <si>
    <t>(NYC) Brooklyn, NY</t>
  </si>
  <si>
    <t>2019/10/12</t>
  </si>
  <si>
    <t>TransportationCamp welcomes all attendees, whether you’re a planner, software developer, engineer, student, &amp;hellip; or just excited about mobility!</t>
  </si>
  <si>
    <t>2019 Vehicle Power and Propulsion Conference (VPPC)</t>
  </si>
  <si>
    <t>VPPC</t>
  </si>
  <si>
    <t>Hanoi, Vietnam</t>
  </si>
  <si>
    <t>2019/10/14 – 17</t>
  </si>
  <si>
    <t>VPPC2019.png   419 x 117</t>
  </si>
  <si>
    <t>&amp;hellip; electified vehicle power, propulsion and related technologies.</t>
  </si>
  <si>
    <t>https://vtsociety.org/</t>
  </si>
  <si>
    <t>https://vtsociety.org/events/2019-vppc/;     https://vppc2019.gel.usherbrooke.ca/</t>
  </si>
  <si>
    <t>Digests due:  2019/05/22 (firm) extended from 05/12, 04/21 and 03/31</t>
  </si>
  <si>
    <t>Tutorial proposals</t>
  </si>
  <si>
    <t>2019/06/26 extended from 05/26</t>
  </si>
  <si>
    <t>Recent Results</t>
  </si>
  <si>
    <t>2019/07/08</t>
  </si>
  <si>
    <t>Thermal Management Systems Symposium</t>
  </si>
  <si>
    <t>Thermal</t>
  </si>
  <si>
    <t>2019/10/15 – 17</t>
  </si>
  <si>
    <t>Plymouth-MI.png         134 x 128</t>
  </si>
  <si>
    <t>&amp;hellip; automated vehicles &amp;hellip; continually present new challenges and needs for the thermal management  &amp;hellip;</t>
  </si>
  <si>
    <t>WEBINAR SERIES:&amp;nbsp; NACFE&amp;rsquo;s Run on Less Technology Day:&amp;nbsp; Part 2: Connectivity</t>
  </si>
  <si>
    <t>NACFE-Conn</t>
  </si>
  <si>
    <t>2019/10/15  11:00 – 12:00 EDT</t>
  </si>
  <si>
    <t>Wiggins-McLane-Saini.png       301 x 120</t>
  </si>
  <si>
    <t>How Can Connectivity Improve Trucking Efficiencies?</t>
  </si>
  <si>
    <t>Brendan Wiggins, Fleet Analytics Manager, PepsiCo</t>
  </si>
  <si>
    <t>Robert Samuel, EBU Digital Commercial Director, Cummins Inc.</t>
  </si>
  <si>
    <t>Rod McLane, VP, Marketing and Customer Success, Peloton</t>
  </si>
  <si>
    <t>Amit Saini, VP, Enterprise AI Services, Noodle.ai</t>
  </si>
  <si>
    <t>The International Event for Sustainable Mobility Solutions</t>
  </si>
  <si>
    <t>Sust-Mob-Soln</t>
  </si>
  <si>
    <t>2019/10/16 – 17</t>
  </si>
  <si>
    <t>Autonomy-Summit.png    339 x 83</t>
  </si>
  <si>
    <t>Active&amp;nbsp;Mobility &amp;ndash; Electrification &amp;ndash; Autonomous&amp;nbsp;Vehicles &amp;ndash; Corporate&amp;nbsp;Mobility &amp;ndash; Data&amp;nbsp;&amp;&amp;nbsp;Connectivity &amp;ndash; Shared&amp;nbsp;Mobility</t>
  </si>
  <si>
    <t>SAE CEU Course: Fundamentals of Electric Machines for Automotive Applications</t>
  </si>
  <si>
    <t>C1870-19-10</t>
  </si>
  <si>
    <t>2019/10/16</t>
  </si>
  <si>
    <t>Manoj-Shaw-2.png                 81 x 112</t>
  </si>
  <si>
    <t>&amp;hellip; the Tesla Model S has 62 electric machines while the Model X has 70! &amp;hellip; Their design must reflect the worst case operating scenarios, duty cycles, environment, &amp;hellip;, etc.</t>
  </si>
  <si>
    <t>Full Fee:  $835  –  membership and multi-course discounts availaible</t>
  </si>
  <si>
    <t>0.8 CEUs</t>
  </si>
  <si>
    <t>AltCar Conference, Expo, and Ride &amp; Drive</t>
  </si>
  <si>
    <t>AltCarExpoSoCal</t>
  </si>
  <si>
    <t>Riverside, CA</t>
  </si>
  <si>
    <t>AltCarExpo-Riverside.png       219 x 100</t>
  </si>
  <si>
    <t>California&amp;rsquo;s trailblazing commitment to alternative technology transportation, infrastructure and energy.  (???)</t>
  </si>
  <si>
    <t>[Platia Productions]</t>
  </si>
  <si>
    <t>310-390-2930</t>
  </si>
  <si>
    <t>Professional Conference   09:00 – 15:00 PDT</t>
  </si>
  <si>
    <t>Series link:</t>
  </si>
  <si>
    <t>Registration</t>
  </si>
  <si>
    <t>Join Mailing List</t>
  </si>
  <si>
    <t>Expo (free after 14:00)</t>
  </si>
  <si>
    <t>Ride And Drive (free after 14:00)</t>
  </si>
  <si>
    <t>Jalon Mobility Awards</t>
  </si>
  <si>
    <t>Jalon</t>
  </si>
  <si>
    <t>2019/10/17</t>
  </si>
  <si>
    <t>Jalon-3.png         341 x 91</t>
  </si>
  <si>
    <t>Recognizing efforts to advance mobility</t>
  </si>
  <si>
    <t>Jean-Fran&amp;ccedil;ois Tremblay</t>
  </si>
  <si>
    <t>2019/09/13  extended from 08/30</t>
  </si>
  <si>
    <t>Teslamania 2019</t>
  </si>
  <si>
    <t>Teslamania</t>
  </si>
  <si>
    <t>Stony Brook, NY</t>
  </si>
  <si>
    <t>2019/10/19  08:30 – 14:30  EDT</t>
  </si>
  <si>
    <t>Teslamania-2019.png      198 x 121</t>
  </si>
  <si>
    <t>&amp;hellip; a day of demonstrations in which physics teachers, students, scientists and enthusiasts can showcase their ideas, inventions and activities &amp;hellip;</t>
  </si>
  <si>
    <t>26&lt;sup&gt;th&lt;/sup&gt; ITS (Intelligent Transportation Systems) World Congress</t>
  </si>
  <si>
    <t>ITS-WC-Singapore-19</t>
  </si>
  <si>
    <t>Singapore</t>
  </si>
  <si>
    <t>2019/10/21 – 25</t>
  </si>
  <si>
    <t>ITS-WC-19-Singapore.png    330 x 209</t>
  </si>
  <si>
    <t>Smart Mobility, Empowering Cities</t>
  </si>
  <si>
    <t>Newsletter:  http://dynamail.entegy.com.au/em/forms/subscribe.php?db=605435&amp;s=255078&amp;a=69280&amp;k=f4229b1</t>
  </si>
  <si>
    <t>2018/11/09</t>
  </si>
  <si>
    <t>Future Mobility Canada Series 2019</t>
  </si>
  <si>
    <t>Fut-Mob-Can</t>
  </si>
  <si>
    <t>PSN-Canada-Logo.png        300 x 207</t>
  </si>
  <si>
    <t>What are some of the biggest challenges for future mobility, but also the opportunities?</t>
  </si>
  <si>
    <t>Vancouver, BC, Canada</t>
  </si>
  <si>
    <t>2019/10/21</t>
  </si>
  <si>
    <t>Ottawa, ON, Canada</t>
  </si>
  <si>
    <t>2019/10/23</t>
  </si>
  <si>
    <t>Toronto, ON, Canada</t>
  </si>
  <si>
    <t>2019/10/25</t>
  </si>
  <si>
    <t>10&lt;sup&gt;th&lt;/sup&gt; Battery Safety Summit</t>
  </si>
  <si>
    <t>Battery-Safety</t>
  </si>
  <si>
    <t>Arlington, VA</t>
  </si>
  <si>
    <t>2019/10/22 – 25</t>
  </si>
  <si>
    <t>Battery-Safe-Summit.png   205 x 212</t>
  </si>
  <si>
    <t>Implementing Lithium-Ion Battery Saftey to meet Increasing Energy Demands</t>
  </si>
  <si>
    <t>P: 781.972.5400</t>
  </si>
  <si>
    <t>Cambridge Enertech</t>
  </si>
  <si>
    <t>F: 781.972.5425</t>
  </si>
  <si>
    <t>2019/10/24</t>
  </si>
  <si>
    <t>Only between 20 and 40 percent of lithium-ion batteries &amp;hellip; are recycled in the United States. &amp;hellip; the process of recycling them is not yet economic &amp;hellip;</t>
  </si>
  <si>
    <t>Victoria Mosolgo, Conference Producer</t>
  </si>
  <si>
    <t xml:space="preserve"> (+1) 781. 972.1346</t>
  </si>
  <si>
    <t>Session:  Post-Incident Investigations</t>
  </si>
  <si>
    <t>&amp;hellip; battery safety incidents are rare, they are a serious cause for concern.  &amp;hellip;  It is important to understand &amp;hellip; so that they can be prevented in the future.</t>
  </si>
  <si>
    <t>Sherry Johnson  Senior Business Development Manager</t>
  </si>
  <si>
    <t>781.972.1359</t>
  </si>
  <si>
    <t xml:space="preserve">International Congress on Electric Mobility, Connected and Autonomous Vehicle &amp;ndash; CEVE2019 </t>
  </si>
  <si>
    <t>CEVE2019</t>
  </si>
  <si>
    <t>Madrid, Spain</t>
  </si>
  <si>
    <t>2019/10/23 – 24</t>
  </si>
  <si>
    <t>CEVE-2019.png    248 x 170</t>
  </si>
  <si>
    <t>The entire emobility value chain will be present.</t>
  </si>
  <si>
    <t>Free Webinar:  Battery Intelligence in New Product Introduction (NPI) for Transportation and Consumer Electronics</t>
  </si>
  <si>
    <t>BIS-3</t>
  </si>
  <si>
    <t>2019/10/23 10:00 – 11:00 EDT</t>
  </si>
  <si>
    <t>WEBINAR SERIES:&amp;nbsp; NACFE&amp;rsquo;s Run on Less Technology Day:&amp;nbsp; Part 3: Battery Electric</t>
  </si>
  <si>
    <t>NACFE-BattElectric</t>
  </si>
  <si>
    <t>2019/10/23  11:00 – 12:00 EDT</t>
  </si>
  <si>
    <t>O-Leary-Voets-Phillips-Bardin.png   325 x 120</t>
  </si>
  <si>
    <t>How Far Will Commercial Battery Electric Vehicles Go?</t>
  </si>
  <si>
    <t>James O&amp;rsquo;Leary, Vice President, Fleet Services, NFI Industries</t>
  </si>
  <si>
    <t>Alexander Voets, eMobility Product and Sales Strategy Manager, Daimler Trucks North America</t>
  </si>
  <si>
    <t>Amanda Phillips, General Manager, OEM Sales, Meritor</t>
  </si>
  <si>
    <t>Justin Bardin, Sr. Project Manager, Operations eMobility, Customer Programs and Services, Southern California Edison</t>
  </si>
  <si>
    <t>SAE Free Webinar:  How to Make Sure More Electronics in Autonomous Vehicles Won't Mean More Problems</t>
  </si>
  <si>
    <t>More-Problems</t>
  </si>
  <si>
    <t>2019/10/23 12:00 – 12:30 EDT</t>
  </si>
  <si>
    <t>Troescher-Letailleur-Arrigo.png    258 x 120</t>
  </si>
  <si>
    <t>Electric Vehicle Summit 2019</t>
  </si>
  <si>
    <t>EV-Summit</t>
  </si>
  <si>
    <t>EV-Summit-2019.png    233 x 190</t>
  </si>
  <si>
    <t>&amp;hellip; electric vehicles (EVs) are finally on the road to replace the internal combustion engine.</t>
  </si>
  <si>
    <t>SAE Free Webinar:  NVH Simulation for Electric/Connected-Vehicle Development and Analysis</t>
  </si>
  <si>
    <t>NVH-Sim</t>
  </si>
  <si>
    <t>2019/10/24 12:00 – 13:00 EDT</t>
  </si>
  <si>
    <t>Lazreq-Mehta-Arrigo.png    275 x 120</t>
  </si>
  <si>
    <t>&amp;hellip; quieter vehicles require more attention to noise, vibration, and harshness (NVH) attenuation.</t>
  </si>
  <si>
    <r>
      <rPr>
        <b/>
        <sz val="11"/>
        <color indexed="8"/>
        <rFont val="Calibri"/>
        <family val="2"/>
      </rPr>
      <t>Zouhair Lazreq</t>
    </r>
    <r>
      <rPr>
        <sz val="11"/>
        <color indexed="8"/>
        <rFont val="Calibri"/>
        <family val="2"/>
      </rPr>
      <t>, Director and Technical Fellow, Dana Inc.</t>
    </r>
  </si>
  <si>
    <r>
      <rPr>
        <b/>
        <sz val="11"/>
        <rFont val="Calibri"/>
        <family val="2"/>
      </rPr>
      <t>Darshan Mehta</t>
    </r>
    <r>
      <rPr>
        <sz val="11"/>
        <rFont val="Calibri"/>
        <family val="2"/>
      </rPr>
      <t>, Product Manager, Automotive Solutions Group, Tektronix</t>
    </r>
  </si>
  <si>
    <t>A Supercharged Halloween Celebration Like no Other</t>
  </si>
  <si>
    <t>Tesla-Halloween</t>
  </si>
  <si>
    <t>2019/10/26  16:00 – 19:00  EDT</t>
  </si>
  <si>
    <t>Tesla-Goosebumps-2.png             258 x 123</t>
  </si>
  <si>
    <t>\nSee main link for many other details&lt;br/&gt;&lt;font size=2&gt;&lt;i&gt;Nikola Tesla &amp;ndash; Master of Technology and Wizard of Electricity&lt;/i&gt;&lt;/font&gt;</t>
  </si>
  <si>
    <t>Tickets: Non-Members $10; SeniorsStudents: $10; TSCW Members (13+): $10; Youths (5-12): $5; Kids under 5: Free</t>
  </si>
  <si>
    <t>IEEE Intelligent Transportation Systems Conference &amp;ndash; ITSC 2019</t>
  </si>
  <si>
    <t>ITSC; ITSC-2019</t>
  </si>
  <si>
    <t>Auckland, New Zealand</t>
  </si>
  <si>
    <t>2019/10/27 – 30</t>
  </si>
  <si>
    <t>ITSC-2019.png    150 x 134</t>
  </si>
  <si>
    <t>&amp;hellip; theory, analysis, simulation and modelling, experimentation, demonstration, case studies, field operational tests and deployments.</t>
  </si>
  <si>
    <t>4&lt;sup&gt;th&lt;/sup&gt; International Driverless Vehicle Summit</t>
  </si>
  <si>
    <t>Driverless</t>
  </si>
  <si>
    <t>Sydney, Australia</t>
  </si>
  <si>
    <t>2019/10/27 – 29</t>
  </si>
  <si>
    <t>ForgFutToday.png                244 x 111</t>
  </si>
  <si>
    <t>&amp;hellip; to showcase best practices on transition from a focus on testing to widespread commercialisation of driveless technology.</t>
  </si>
  <si>
    <t>SAE CEU Course:  Overview of the Role of Connected and Autonomous Vehicles in Smart Cities</t>
  </si>
  <si>
    <t>C1953-19-10</t>
  </si>
  <si>
    <t>2019/10/28</t>
  </si>
  <si>
    <t>Robert-McQueen-B-W.png            74 x 120</t>
  </si>
  <si>
    <t>&amp;hellip; big data and analytics, [as] applied to data generated by autonomous and connected vehicles, &amp;hellip; explained within the context of a smart city.</t>
  </si>
  <si>
    <t>Instructor:  Robert McQueen</t>
  </si>
  <si>
    <t>Full Fee:  $425</t>
  </si>
  <si>
    <t>0.4 CEUs</t>
  </si>
  <si>
    <t>SAE CEU Course:  Overview of LIDAR and Infrared Cameras for ADAS and Autonomous Sensing</t>
  </si>
  <si>
    <t>C1954-19-10</t>
  </si>
  <si>
    <t>This &amp;half; day technical session is an abbreviated version of the 2 day SAE course &amp;hellip;</t>
  </si>
  <si>
    <t>SAE CEU Course:  Application Development of Electric Vehicles and Hybrid Electric Vehicles: Balancing Economic Objectives and Technical Requirements</t>
  </si>
  <si>
    <t>C1630-19-10</t>
  </si>
  <si>
    <t>2019/10/29 - 30</t>
  </si>
  <si>
    <t>Tsinghua-Univ.png         127 x 100</t>
  </si>
  <si>
    <t>&amp;hellip; emission and fuel consumption regulations are pushing the automotive industry towards electrified powertrain and electrified vehicles &amp;hellip; particularly &amp;hellip; in China &amp;hellip;</t>
  </si>
  <si>
    <t>Full Fee:  $588</t>
  </si>
  <si>
    <t>https://www.sae.org/learn/professional-development</t>
  </si>
  <si>
    <t>aabc-A</t>
  </si>
  <si>
    <t>Tokyo, Japan</t>
  </si>
  <si>
    <t>2019/10/29 – 31</t>
  </si>
  <si>
    <t>Tutorials</t>
  </si>
  <si>
    <t>2019/10/28 only</t>
  </si>
  <si>
    <t>Separate Registration required</t>
  </si>
  <si>
    <t>Innovations in Mobility</t>
  </si>
  <si>
    <t>Innov-Mobility</t>
  </si>
  <si>
    <t>Innov-Mobility.png   166 x 289</t>
  </si>
  <si>
    <t>Join Us in a Revolutionary Transformation</t>
  </si>
  <si>
    <t>Limited to authors up to 34 years old</t>
  </si>
  <si>
    <t>2019/04/25 extended from 03/25</t>
  </si>
  <si>
    <t>SCS-Novi-MI.png         158 x 112 (tentative)</t>
  </si>
  <si>
    <t>WEBINAR:&amp;nbsp; Renewable Hydrogen&amp;rsquo;s Role in Securing California&amp;rsquo;s Decarbonized and Energy Resilient Future</t>
  </si>
  <si>
    <t>Ren-Hyd</t>
  </si>
  <si>
    <t>2019/10/31  11:00 EDT</t>
  </si>
  <si>
    <t>Jones-Peacock-Hildreth.png   272 x 120</t>
  </si>
  <si>
    <r>
      <rPr>
        <b/>
        <sz val="11"/>
        <color indexed="8"/>
        <rFont val="Calibri"/>
        <family val="2"/>
      </rPr>
      <t>Steve Jones</t>
    </r>
    <r>
      <rPr>
        <sz val="11"/>
        <color indexed="8"/>
        <rFont val="Calibri"/>
        <family val="2"/>
      </rPr>
      <t>,  Managing Director  ITM Power</t>
    </r>
  </si>
  <si>
    <r>
      <rPr>
        <b/>
        <sz val="11"/>
        <color indexed="8"/>
        <rFont val="Calibri"/>
        <family val="2"/>
      </rPr>
      <t>Tanya Peacock</t>
    </r>
    <r>
      <rPr>
        <sz val="11"/>
        <color indexed="8"/>
        <rFont val="Calibri"/>
        <family val="2"/>
      </rPr>
      <t>,  Public Policy and Planning Manager, SoCalGas</t>
    </r>
  </si>
  <si>
    <r>
      <rPr>
        <b/>
        <sz val="11"/>
        <color indexed="8"/>
        <rFont val="Calibri"/>
        <family val="2"/>
      </rPr>
      <t>Derek Hildreth</t>
    </r>
    <r>
      <rPr>
        <sz val="11"/>
        <color indexed="8"/>
        <rFont val="Calibri"/>
        <family val="2"/>
      </rPr>
      <t>,  Head of Business Development, Doosan Fuel Cell America</t>
    </r>
  </si>
  <si>
    <t>14&lt;sup&gt;th&lt;/sup&gt; Annual Santa Monica Expo and Ride &amp; Drive</t>
  </si>
  <si>
    <t>AltCarExpoSanMon</t>
  </si>
  <si>
    <t>Santa Monica, CA</t>
  </si>
  <si>
    <t>2019/11/02</t>
  </si>
  <si>
    <t>AltCarExpo-SantaMonica-2.png               306 x 154</t>
  </si>
  <si>
    <t>Professional Conference (Friday only)</t>
  </si>
  <si>
    <t>Series Link:</t>
  </si>
  <si>
    <t>Speakers for Public (Saturday Only)</t>
  </si>
  <si>
    <t>Expo (free)</t>
  </si>
  <si>
    <t>Ride And Drive (free)    11:00 – 16:00</t>
  </si>
  <si>
    <t>Registration for free events</t>
  </si>
  <si>
    <t>8&lt;sup&gt;th&lt;/sup&gt; International Conference on Connected Vehicles, and Expo</t>
  </si>
  <si>
    <t>ICCVE</t>
  </si>
  <si>
    <t>Graz, Austria</t>
  </si>
  <si>
    <t>2019/11/04 – 08</t>
  </si>
  <si>
    <t>Graz.png         160 x 90</t>
  </si>
  <si>
    <t>By connecting and automating vehicles we are able to make our mobility safer, faster, cheaper, cleaner, and more enjoyable.</t>
  </si>
  <si>
    <t>2019/05/27 (extended)</t>
  </si>
  <si>
    <t>2019/11/04</t>
  </si>
  <si>
    <t>Tutorials (in afternoon)</t>
  </si>
  <si>
    <t>2019/11/05 – 07</t>
  </si>
  <si>
    <t>Conference and Technical Program</t>
  </si>
  <si>
    <t>2019/11/07</t>
  </si>
  <si>
    <t>Exchange between industry and academia</t>
  </si>
  <si>
    <t>Call4Speakers</t>
  </si>
  <si>
    <t>2019/09/30</t>
  </si>
  <si>
    <t>2019/11/08</t>
  </si>
  <si>
    <t>Optional Industry Tour</t>
  </si>
  <si>
    <t>c1128-19-11</t>
  </si>
  <si>
    <t>SAE CEU Course:  Introduction to Radar for Automotive Applications</t>
  </si>
  <si>
    <t>c1627-19-11</t>
  </si>
  <si>
    <t>2019/11/04 – 05</t>
  </si>
  <si>
    <t>William-Buller-2.png            102 x 120</t>
  </si>
  <si>
    <t>&amp;hellip; how radars work and the trade offs that must be made to achieve its specified performance, focusing on applications to automotive safety and autonomy.</t>
  </si>
  <si>
    <t>Instructor:  William Buller</t>
  </si>
  <si>
    <t>Full Fee:  $1415 – membership and multi-course discounts available</t>
  </si>
  <si>
    <t>2019 Forum:  Impact of Vehicle Technologies &amp; Automation Users Forum</t>
  </si>
  <si>
    <t>Impact</t>
  </si>
  <si>
    <t>AAA-Found-Traf-Saf.png  281 x 124</t>
  </si>
  <si>
    <t>&amp;hellip; impact of vehicle technologies and automation to vulnerable road users and driver behavior and performance.</t>
  </si>
  <si>
    <t>C0626-19-11</t>
  </si>
  <si>
    <t>2019/11/05 – 06</t>
  </si>
  <si>
    <t>&amp;hellip; introduces [the role of batteries in] hybrid vehicles &amp;hellip; .</t>
  </si>
  <si>
    <t>SAE CEU Course:  Advanced Power Electronics in Automotive Applications</t>
  </si>
  <si>
    <t>C1872-19-11</t>
  </si>
  <si>
    <t>Caisheng-Wang-2.png  93 x 120</t>
  </si>
  <si>
    <t>&amp;hellip; power electronics has become one of the most important areas of the automotive subsystem &amp;hellip;</t>
  </si>
  <si>
    <t>Instructor:  Caisheng Wang</t>
  </si>
  <si>
    <t>InterTraffic Indonesia</t>
  </si>
  <si>
    <t>InterTraffic-Indonesia</t>
  </si>
  <si>
    <t>http://www.intertraffic.com/en/indonesia/</t>
  </si>
  <si>
    <t>Jakarta, Indonesia</t>
  </si>
  <si>
    <t>2019/11/06 – 08</t>
  </si>
  <si>
    <t>Jakarta-Traffic-2.png            220 x 106</t>
  </si>
  <si>
    <t>&amp;hellip; regional showcase for infrastructure, safety, parking, smart mobility and traffic management.</t>
  </si>
  <si>
    <t>https://www.intertraffic.com/</t>
  </si>
  <si>
    <t>2019/11/06 10:00 – 11:00 EDT (rescheduled)</t>
  </si>
  <si>
    <t>NJT (New Jersey Transit) Innovation Challenge</t>
  </si>
  <si>
    <t>NJT-Innov</t>
  </si>
  <si>
    <t>Meadowlands, NJ</t>
  </si>
  <si>
    <t>NJT-Innovation-Challenge.png  200 x 146</t>
  </si>
  <si>
    <t>Click on main link, provide your contact information, and they’ll get back to you.</t>
  </si>
  <si>
    <t>C1019-19-11</t>
  </si>
  <si>
    <t>SAE CEU Course:  Introduction to Highly Automated Vehicles</t>
  </si>
  <si>
    <t>C1603-19-11</t>
  </si>
  <si>
    <t>2019/11/12 – 13</t>
  </si>
  <si>
    <t>Jeffery-Blackburn.png  86 x 120</t>
  </si>
  <si>
    <t>[&amp;hellp; the trend in traffic deaths has been downward for the past decade, most of this reduction has been the result of optimizing &amp;hellip; occupant crash protection systems &amp;hellip; ]ADAS now offer the potential to significantly reduce or eliminate most vehicle crashes by &amp;hellip; taking action to avoid or mitigate the crash.</t>
  </si>
  <si>
    <t>Instructor:  Jeffery Blackburn</t>
  </si>
  <si>
    <t>Full Fee:  $1415  –  membership and multi-course discounts available</t>
  </si>
  <si>
    <t>InterTraffic Mexico</t>
  </si>
  <si>
    <t>InterTraffic-Mexico</t>
  </si>
  <si>
    <t>Mexico City, Mexico</t>
  </si>
  <si>
    <t>2019/11/12 - 14</t>
  </si>
  <si>
    <t>Mexico-City-Traffic.png         121 x 76</t>
  </si>
  <si>
    <t>Learn from key leaders [who] will inspire you with best practices on trending topics.</t>
  </si>
  <si>
    <t>SBIR Road Tour &amp;ndash; Miami / Puerto Rico</t>
  </si>
  <si>
    <t>SBIR-M-PR-Road-Tour</t>
  </si>
  <si>
    <t>2019/11/13 – 15</t>
  </si>
  <si>
    <t>Miami, FL</t>
  </si>
  <si>
    <t>2019/11/13</t>
  </si>
  <si>
    <t>Will Silverman</t>
  </si>
  <si>
    <t>San Juan, PR</t>
  </si>
  <si>
    <t>2019/11/15</t>
  </si>
  <si>
    <t>Denisse Rodriguez</t>
  </si>
  <si>
    <t>Small Engine Technology Conference and Exhibition</t>
  </si>
  <si>
    <t>SETC</t>
  </si>
  <si>
    <t>Hiroshima, Japan</t>
  </si>
  <si>
    <t>2019/11/19 – 21</t>
  </si>
  <si>
    <t>JSAE-SETC.png    174 x 64</t>
  </si>
  <si>
    <t>&amp;hellip; one of the greatest opportunities to get and share information on the latest technology of small engines and their products.</t>
  </si>
  <si>
    <t>Abstracts due 2019/04/30</t>
  </si>
  <si>
    <t>Technical Visit:  2019/11/18</t>
  </si>
  <si>
    <t>Smart City Expo &amp; Smart Mobility Congress in Barcelona</t>
  </si>
  <si>
    <t>Smart-Mob-Cong</t>
  </si>
  <si>
    <t>Barcelona, Spain</t>
  </si>
  <si>
    <t>Smart-Cities.png    369 x 92</t>
  </si>
  <si>
    <t>Find out what&amp;rsquo;s next for urban mobility from experts and visionaries in the sector</t>
  </si>
  <si>
    <t>Bee Smart City</t>
  </si>
  <si>
    <t>FAV (Florida Automated Vehicles) Summit</t>
  </si>
  <si>
    <t>FAV</t>
  </si>
  <si>
    <t>FAV.png         313 x 177</t>
  </si>
  <si>
    <t>&amp;hellip; automated, connected, electric and shared (ACES) mobility. &amp;hellip;</t>
  </si>
  <si>
    <t>The Future of Transportation World Conference 2019</t>
  </si>
  <si>
    <t>FoT-WC</t>
  </si>
  <si>
    <t>Vienna, Austria</t>
  </si>
  <si>
    <t>2019/11/26 – 28</t>
  </si>
  <si>
    <t>Red-Quadracopter.png   166 x 112</t>
  </si>
  <si>
    <t>2020 -  2030 and Beyond &amp;ndash; The Images of Change &amp;ndash; the Future will be Quick to Arrive and Highly Disruptive</t>
  </si>
  <si>
    <t>2018/01/22</t>
  </si>
  <si>
    <t>International Transport Forum</t>
  </si>
  <si>
    <t>2Future-of-Transp.png    233 x 57</t>
  </si>
  <si>
    <t>acad06-19-12</t>
  </si>
  <si>
    <t>2019/12/02 – 06</t>
  </si>
  <si>
    <t>Full Fee:  $3,550  –  membership and multi-course discounts available</t>
  </si>
  <si>
    <t>2019 IEEE Vehicular Networking Conference (VNC)</t>
  </si>
  <si>
    <t>VNC</t>
  </si>
  <si>
    <t>2019/12/04 – 06</t>
  </si>
  <si>
    <t>UCLA-2.png   147 x 79</t>
  </si>
  <si>
    <t>&amp;hellip; brainstorm the next phases of exploration in the foundations, technologies, and applications of vehicular communication networks.</t>
  </si>
  <si>
    <t>Millennials and Zero Emission Transport</t>
  </si>
  <si>
    <t>Millennials</t>
  </si>
  <si>
    <t>2019/12/05</t>
  </si>
  <si>
    <t>Millennials.png   216 x 111</t>
  </si>
  <si>
    <t>[Millennials] have the greatest stakes in the success of our work towards a zero emissions society &amp;hellip;</t>
  </si>
  <si>
    <t>Holiday Lighting at Wardenclyffe</t>
  </si>
  <si>
    <t>Holiday-Lights</t>
  </si>
  <si>
    <t>2019/12/07  15:00 – 18:00</t>
  </si>
  <si>
    <t>Tesla-Holiday-Lights-2019.png        85 x 115</t>
  </si>
  <si>
    <t>Celebrate the season in electrifying style &amp;hellip;</t>
  </si>
  <si>
    <t>SBIR/STTR Webinar &amp;ndash; ABCs of SBIR/STTR Funding</t>
  </si>
  <si>
    <t>2019/12/11        14:00 – 15:45</t>
  </si>
  <si>
    <t>While the rewards are significant, the process can be daunting.</t>
  </si>
  <si>
    <r>
      <rPr>
        <b/>
        <sz val="11"/>
        <rFont val="Calibri"/>
        <family val="2"/>
      </rPr>
      <t>Megan Varnum</t>
    </r>
    <r>
      <rPr>
        <sz val="11"/>
        <rFont val="Calibri"/>
        <family val="2"/>
      </rPr>
      <t>, Ph.D, Principal Consultant with BBC Entrepreneurial Training and Consulting</t>
    </r>
  </si>
  <si>
    <t>Organizer</t>
  </si>
  <si>
    <t>c1602-19-12</t>
  </si>
  <si>
    <t>2019/12/12</t>
  </si>
  <si>
    <t>Full Fee:  $810  –  membership and multi-course discounts available</t>
  </si>
  <si>
    <t>ITEC (IEEE Transportation Electrification Conference) India 2019</t>
  </si>
  <si>
    <t>ITEC-Bang</t>
  </si>
  <si>
    <t>Bangalore, India</t>
  </si>
  <si>
    <t>2019/12/17 – 19</t>
  </si>
  <si>
    <t>e-Mobility Solutions for Community</t>
  </si>
  <si>
    <t>IEEE Transportation Electrification Comunity</t>
  </si>
  <si>
    <t>5&lt;sup&gt;th&lt;/sup&gt; Conference of Transportation Research Group of India (CTRG-2019)</t>
  </si>
  <si>
    <t>CTRG</t>
  </si>
  <si>
    <t>Bhopal, India</t>
  </si>
  <si>
    <t>2019/12/18 – 21</t>
  </si>
  <si>
    <t>TRG-India.png    297 x 152</t>
  </si>
  <si>
    <t>&amp;hellip; a forum  &amp;hellip; to cover a wide spectrum of topics related to transportation of people and freight.</t>
  </si>
  <si>
    <t>Mostly for the</t>
  </si>
  <si>
    <t>For Transportation-</t>
  </si>
  <si>
    <t>Complete List of Events</t>
  </si>
  <si>
    <t>General Public</t>
  </si>
  <si>
    <t>Innovation Professionals</t>
  </si>
  <si>
    <t>and Event Calendars</t>
  </si>
  <si>
    <t>Events &amp; Expositions</t>
  </si>
  <si>
    <t>Upcoming Events</t>
  </si>
  <si>
    <t>List of upcoming events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</si>
</sst>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General"/>
    <numFmt numFmtId="167" formatCode="H:MM"/>
    <numFmt numFmtId="168" formatCode="&quot;TRUE&quot;;&quot;TRUE&quot;;&quot;FALSE&quot;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18"/>
      <name val="Calibri"/>
      <family val="2"/>
    </font>
    <font>
      <sz val="10"/>
      <color indexed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.5"/>
      <color indexed="16"/>
      <name val="Calibri"/>
      <family val="2"/>
    </font>
    <font>
      <b/>
      <sz val="11"/>
      <color indexed="60"/>
      <name val="Calibri"/>
      <family val="2"/>
    </font>
    <font>
      <sz val="11"/>
      <color indexed="8"/>
      <name val="Segoe UI"/>
      <family val="2"/>
    </font>
    <font>
      <u val="single"/>
      <sz val="11"/>
      <color indexed="12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8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dotted">
        <color indexed="23"/>
      </top>
      <bottom>
        <color indexed="63"/>
      </bottom>
    </border>
    <border>
      <left style="thin">
        <color indexed="23"/>
      </left>
      <right style="thin">
        <color indexed="8"/>
      </right>
      <top style="dotted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dotted">
        <color indexed="8"/>
      </right>
      <top style="dotted">
        <color indexed="23"/>
      </top>
      <bottom style="dotted">
        <color indexed="23"/>
      </bottom>
    </border>
    <border>
      <left style="dotted">
        <color indexed="8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 style="dotted">
        <color indexed="23"/>
      </top>
      <bottom style="dashed">
        <color indexed="59"/>
      </bottom>
    </border>
    <border>
      <left style="thin">
        <color indexed="8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23"/>
      </top>
      <bottom style="thin">
        <color indexed="8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8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23"/>
      </top>
      <bottom style="thin">
        <color indexed="8"/>
      </bottom>
    </border>
    <border>
      <left style="thin">
        <color indexed="8"/>
      </left>
      <right style="dotted">
        <color indexed="23"/>
      </right>
      <top style="dotted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23"/>
      </top>
      <bottom style="thin">
        <color indexed="8"/>
      </bottom>
    </border>
  </borders>
  <cellStyleXfs count="2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9" fillId="0" borderId="0">
      <alignment/>
      <protection/>
    </xf>
    <xf numFmtId="164" fontId="2" fillId="2" borderId="0">
      <alignment/>
      <protection/>
    </xf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3" borderId="0">
      <alignment/>
      <protection/>
    </xf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>
      <alignment/>
      <protection/>
    </xf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>
      <alignment/>
      <protection/>
    </xf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>
      <alignment/>
      <protection/>
    </xf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>
      <alignment/>
      <protection/>
    </xf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>
      <alignment/>
      <protection/>
    </xf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>
      <alignment/>
      <protection/>
    </xf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>
      <alignment/>
      <protection/>
    </xf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>
      <alignment/>
      <protection/>
    </xf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>
      <alignment/>
      <protection/>
    </xf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2" fillId="8" borderId="0" applyNumberFormat="0" applyBorder="0" applyAlignment="0" applyProtection="0"/>
    <xf numFmtId="164" fontId="13" fillId="8" borderId="1">
      <alignment/>
      <protection/>
    </xf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13" fillId="8" borderId="1" applyNumberFormat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420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" xfId="0" applyFont="1" applyFill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center" wrapText="1"/>
    </xf>
    <xf numFmtId="164" fontId="0" fillId="9" borderId="2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right" wrapText="1"/>
    </xf>
    <xf numFmtId="164" fontId="0" fillId="9" borderId="2" xfId="0" applyFont="1" applyFill="1" applyBorder="1" applyAlignment="1">
      <alignment horizontal="left" wrapText="1"/>
    </xf>
    <xf numFmtId="167" fontId="0" fillId="0" borderId="2" xfId="0" applyNumberFormat="1" applyFont="1" applyBorder="1" applyAlignment="1">
      <alignment horizontal="center" wrapText="1"/>
    </xf>
    <xf numFmtId="164" fontId="0" fillId="10" borderId="2" xfId="0" applyFont="1" applyFill="1" applyBorder="1" applyAlignment="1">
      <alignment horizontal="center" wrapText="1"/>
    </xf>
    <xf numFmtId="164" fontId="0" fillId="10" borderId="2" xfId="0" applyFont="1" applyFill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11" borderId="2" xfId="0" applyFont="1" applyFill="1" applyBorder="1" applyAlignment="1">
      <alignment horizontal="center" vertical="center" wrapText="1"/>
    </xf>
    <xf numFmtId="164" fontId="0" fillId="11" borderId="2" xfId="0" applyFont="1" applyFill="1" applyBorder="1" applyAlignment="1">
      <alignment horizontal="left" wrapText="1"/>
    </xf>
    <xf numFmtId="164" fontId="0" fillId="12" borderId="2" xfId="0" applyFont="1" applyFill="1" applyBorder="1" applyAlignment="1">
      <alignment horizontal="center" vertical="center" wrapText="1"/>
    </xf>
    <xf numFmtId="164" fontId="0" fillId="12" borderId="0" xfId="0" applyFont="1" applyFill="1" applyAlignment="1">
      <alignment/>
    </xf>
    <xf numFmtId="164" fontId="0" fillId="13" borderId="2" xfId="0" applyFont="1" applyFill="1" applyBorder="1" applyAlignment="1">
      <alignment horizontal="center"/>
    </xf>
    <xf numFmtId="164" fontId="0" fillId="13" borderId="2" xfId="0" applyFont="1" applyFill="1" applyBorder="1" applyAlignment="1">
      <alignment horizontal="left" wrapText="1"/>
    </xf>
    <xf numFmtId="164" fontId="0" fillId="14" borderId="2" xfId="0" applyFont="1" applyFill="1" applyBorder="1" applyAlignment="1">
      <alignment horizontal="center" vertical="center" wrapText="1"/>
    </xf>
    <xf numFmtId="164" fontId="0" fillId="14" borderId="2" xfId="0" applyFont="1" applyFill="1" applyBorder="1" applyAlignment="1">
      <alignment horizontal="left" wrapText="1"/>
    </xf>
    <xf numFmtId="164" fontId="0" fillId="0" borderId="0" xfId="0" applyFont="1" applyAlignment="1">
      <alignment/>
    </xf>
    <xf numFmtId="164" fontId="14" fillId="15" borderId="2" xfId="0" applyFont="1" applyFill="1" applyBorder="1" applyAlignment="1">
      <alignment horizontal="center" vertical="center" wrapText="1"/>
    </xf>
    <xf numFmtId="164" fontId="0" fillId="16" borderId="2" xfId="0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4" fontId="0" fillId="0" borderId="3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64" fontId="0" fillId="0" borderId="5" xfId="0" applyFont="1" applyBorder="1" applyAlignment="1">
      <alignment wrapText="1"/>
    </xf>
    <xf numFmtId="164" fontId="0" fillId="0" borderId="6" xfId="0" applyFont="1" applyBorder="1" applyAlignment="1">
      <alignment horizontal="left" wrapText="1"/>
    </xf>
    <xf numFmtId="164" fontId="0" fillId="0" borderId="6" xfId="0" applyFont="1" applyBorder="1" applyAlignment="1">
      <alignment horizontal="right" wrapText="1"/>
    </xf>
    <xf numFmtId="164" fontId="0" fillId="0" borderId="7" xfId="0" applyFont="1" applyBorder="1" applyAlignment="1">
      <alignment wrapText="1"/>
    </xf>
    <xf numFmtId="164" fontId="0" fillId="0" borderId="8" xfId="0" applyFont="1" applyBorder="1" applyAlignment="1">
      <alignment wrapText="1"/>
    </xf>
    <xf numFmtId="164" fontId="15" fillId="0" borderId="9" xfId="0" applyFont="1" applyBorder="1" applyAlignment="1">
      <alignment wrapText="1"/>
    </xf>
    <xf numFmtId="164" fontId="15" fillId="0" borderId="6" xfId="0" applyFont="1" applyBorder="1" applyAlignment="1">
      <alignment wrapText="1"/>
    </xf>
    <xf numFmtId="164" fontId="15" fillId="0" borderId="10" xfId="0" applyFont="1" applyBorder="1" applyAlignment="1">
      <alignment wrapText="1"/>
    </xf>
    <xf numFmtId="164" fontId="16" fillId="0" borderId="9" xfId="0" applyFont="1" applyBorder="1" applyAlignment="1">
      <alignment wrapText="1"/>
    </xf>
    <xf numFmtId="164" fontId="16" fillId="0" borderId="6" xfId="0" applyFont="1" applyBorder="1" applyAlignment="1">
      <alignment wrapText="1"/>
    </xf>
    <xf numFmtId="164" fontId="16" fillId="0" borderId="10" xfId="0" applyFont="1" applyBorder="1" applyAlignment="1">
      <alignment wrapText="1"/>
    </xf>
    <xf numFmtId="164" fontId="0" fillId="0" borderId="9" xfId="0" applyFont="1" applyBorder="1" applyAlignment="1">
      <alignment wrapText="1"/>
    </xf>
    <xf numFmtId="164" fontId="0" fillId="0" borderId="6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/>
    </xf>
    <xf numFmtId="164" fontId="0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16" borderId="12" xfId="0" applyFont="1" applyFill="1" applyBorder="1" applyAlignment="1">
      <alignment horizontal="right" vertical="top" wrapText="1"/>
    </xf>
    <xf numFmtId="164" fontId="0" fillId="0" borderId="13" xfId="0" applyFont="1" applyFill="1" applyBorder="1" applyAlignment="1">
      <alignment horizontal="right" vertical="top" wrapText="1"/>
    </xf>
    <xf numFmtId="164" fontId="18" fillId="0" borderId="14" xfId="0" applyFont="1" applyBorder="1" applyAlignment="1">
      <alignment horizontal="center" wrapText="1"/>
    </xf>
    <xf numFmtId="164" fontId="19" fillId="0" borderId="11" xfId="0" applyFont="1" applyBorder="1" applyAlignment="1">
      <alignment horizontal="center" wrapText="1"/>
    </xf>
    <xf numFmtId="164" fontId="19" fillId="0" borderId="15" xfId="0" applyFont="1" applyBorder="1" applyAlignment="1">
      <alignment wrapText="1"/>
    </xf>
    <xf numFmtId="164" fontId="20" fillId="0" borderId="14" xfId="0" applyFont="1" applyBorder="1" applyAlignment="1">
      <alignment horizontal="center" wrapText="1"/>
    </xf>
    <xf numFmtId="164" fontId="21" fillId="0" borderId="15" xfId="0" applyFont="1" applyBorder="1" applyAlignment="1">
      <alignment horizontal="left" wrapText="1"/>
    </xf>
    <xf numFmtId="164" fontId="20" fillId="0" borderId="0" xfId="0" applyFont="1" applyBorder="1" applyAlignment="1">
      <alignment wrapText="1"/>
    </xf>
    <xf numFmtId="164" fontId="20" fillId="0" borderId="0" xfId="0" applyFont="1" applyBorder="1" applyAlignment="1">
      <alignment horizontal="left" wrapText="1"/>
    </xf>
    <xf numFmtId="164" fontId="20" fillId="0" borderId="0" xfId="0" applyFont="1" applyBorder="1" applyAlignment="1">
      <alignment horizontal="center" wrapText="1"/>
    </xf>
    <xf numFmtId="164" fontId="20" fillId="0" borderId="16" xfId="0" applyFont="1" applyBorder="1" applyAlignment="1">
      <alignment wrapText="1"/>
    </xf>
    <xf numFmtId="164" fontId="20" fillId="0" borderId="13" xfId="0" applyFont="1" applyBorder="1" applyAlignment="1">
      <alignment wrapText="1"/>
    </xf>
    <xf numFmtId="164" fontId="18" fillId="0" borderId="17" xfId="0" applyFont="1" applyBorder="1" applyAlignment="1">
      <alignment wrapText="1"/>
    </xf>
    <xf numFmtId="164" fontId="18" fillId="0" borderId="18" xfId="0" applyFont="1" applyBorder="1" applyAlignment="1">
      <alignment wrapText="1"/>
    </xf>
    <xf numFmtId="164" fontId="18" fillId="0" borderId="15" xfId="0" applyFont="1" applyBorder="1" applyAlignment="1">
      <alignment wrapText="1"/>
    </xf>
    <xf numFmtId="164" fontId="19" fillId="0" borderId="17" xfId="0" applyFont="1" applyBorder="1" applyAlignment="1">
      <alignment wrapText="1"/>
    </xf>
    <xf numFmtId="164" fontId="19" fillId="0" borderId="19" xfId="0" applyFont="1" applyBorder="1" applyAlignment="1">
      <alignment wrapText="1"/>
    </xf>
    <xf numFmtId="164" fontId="20" fillId="0" borderId="17" xfId="0" applyFont="1" applyBorder="1" applyAlignment="1">
      <alignment wrapText="1"/>
    </xf>
    <xf numFmtId="164" fontId="20" fillId="0" borderId="19" xfId="0" applyFont="1" applyBorder="1" applyAlignment="1">
      <alignment wrapText="1"/>
    </xf>
    <xf numFmtId="164" fontId="20" fillId="0" borderId="15" xfId="0" applyFont="1" applyBorder="1" applyAlignment="1">
      <alignment wrapText="1"/>
    </xf>
    <xf numFmtId="164" fontId="0" fillId="0" borderId="20" xfId="0" applyFont="1" applyFill="1" applyBorder="1" applyAlignment="1">
      <alignment horizontal="left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horizontal="right" vertical="center" wrapText="1"/>
    </xf>
    <xf numFmtId="164" fontId="0" fillId="0" borderId="24" xfId="0" applyFont="1" applyFill="1" applyBorder="1" applyAlignment="1">
      <alignment horizontal="left" vertical="center" wrapText="1"/>
    </xf>
    <xf numFmtId="164" fontId="0" fillId="0" borderId="25" xfId="0" applyFont="1" applyFill="1" applyBorder="1" applyAlignment="1">
      <alignment horizontal="left" vertical="center" wrapText="1"/>
    </xf>
    <xf numFmtId="164" fontId="15" fillId="0" borderId="26" xfId="0" applyFont="1" applyFill="1" applyBorder="1" applyAlignment="1">
      <alignment horizontal="left" vertical="center" wrapText="1"/>
    </xf>
    <xf numFmtId="164" fontId="15" fillId="0" borderId="23" xfId="0" applyFont="1" applyFill="1" applyBorder="1" applyAlignment="1">
      <alignment horizontal="left" vertical="center" wrapText="1"/>
    </xf>
    <xf numFmtId="164" fontId="15" fillId="0" borderId="27" xfId="0" applyFont="1" applyFill="1" applyBorder="1" applyAlignment="1">
      <alignment horizontal="left" vertical="center" wrapText="1"/>
    </xf>
    <xf numFmtId="164" fontId="16" fillId="0" borderId="26" xfId="0" applyFont="1" applyFill="1" applyBorder="1" applyAlignment="1">
      <alignment horizontal="left" vertical="center" wrapText="1"/>
    </xf>
    <xf numFmtId="164" fontId="16" fillId="0" borderId="23" xfId="0" applyFont="1" applyFill="1" applyBorder="1" applyAlignment="1">
      <alignment horizontal="left" vertical="center" wrapText="1"/>
    </xf>
    <xf numFmtId="164" fontId="16" fillId="0" borderId="27" xfId="0" applyFont="1" applyFill="1" applyBorder="1" applyAlignment="1">
      <alignment horizontal="left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7" xfId="0" applyFont="1" applyFill="1" applyBorder="1" applyAlignment="1">
      <alignment horizontal="left" vertical="center" wrapText="1"/>
    </xf>
    <xf numFmtId="164" fontId="20" fillId="0" borderId="27" xfId="0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vertical="center" wrapText="1"/>
    </xf>
    <xf numFmtId="164" fontId="15" fillId="0" borderId="21" xfId="0" applyFont="1" applyFill="1" applyBorder="1" applyAlignment="1">
      <alignment vertical="center" wrapText="1"/>
    </xf>
    <xf numFmtId="164" fontId="0" fillId="0" borderId="21" xfId="0" applyFill="1" applyBorder="1" applyAlignment="1">
      <alignment/>
    </xf>
    <xf numFmtId="164" fontId="0" fillId="0" borderId="21" xfId="0" applyFont="1" applyFill="1" applyBorder="1" applyAlignment="1">
      <alignment horizontal="right" vertical="center" wrapText="1"/>
    </xf>
    <xf numFmtId="164" fontId="16" fillId="0" borderId="21" xfId="0" applyFont="1" applyFill="1" applyBorder="1" applyAlignment="1">
      <alignment vertical="center" wrapText="1"/>
    </xf>
    <xf numFmtId="164" fontId="20" fillId="0" borderId="2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3" xfId="0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left" vertical="center" wrapText="1"/>
    </xf>
    <xf numFmtId="164" fontId="0" fillId="0" borderId="7" xfId="0" applyFont="1" applyFill="1" applyBorder="1" applyAlignment="1">
      <alignment horizontal="left" vertical="center" wrapText="1"/>
    </xf>
    <xf numFmtId="164" fontId="0" fillId="0" borderId="8" xfId="0" applyFont="1" applyFill="1" applyBorder="1" applyAlignment="1">
      <alignment horizontal="left" vertical="center" wrapText="1"/>
    </xf>
    <xf numFmtId="164" fontId="15" fillId="0" borderId="9" xfId="0" applyFont="1" applyFill="1" applyBorder="1" applyAlignment="1">
      <alignment horizontal="left" vertical="center" wrapText="1"/>
    </xf>
    <xf numFmtId="164" fontId="22" fillId="0" borderId="6" xfId="0" applyFont="1" applyFill="1" applyBorder="1" applyAlignment="1">
      <alignment horizontal="left" vertical="center" wrapText="1"/>
    </xf>
    <xf numFmtId="164" fontId="15" fillId="0" borderId="10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Fill="1" applyBorder="1" applyAlignment="1">
      <alignment horizontal="left" vertical="center" wrapText="1"/>
    </xf>
    <xf numFmtId="164" fontId="16" fillId="0" borderId="6" xfId="0" applyNumberFormat="1" applyFont="1" applyFill="1" applyBorder="1" applyAlignment="1">
      <alignment horizontal="left" vertical="center" wrapText="1"/>
    </xf>
    <xf numFmtId="164" fontId="16" fillId="0" borderId="10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0" fillId="0" borderId="11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6" xfId="0" applyFont="1" applyFill="1" applyBorder="1" applyAlignment="1">
      <alignment horizontal="right" vertical="center" wrapText="1"/>
    </xf>
    <xf numFmtId="168" fontId="0" fillId="0" borderId="7" xfId="0" applyNumberFormat="1" applyFont="1" applyFill="1" applyBorder="1" applyAlignment="1">
      <alignment horizontal="left" vertical="center" wrapText="1"/>
    </xf>
    <xf numFmtId="168" fontId="0" fillId="0" borderId="8" xfId="0" applyNumberFormat="1" applyFont="1" applyFill="1" applyBorder="1" applyAlignment="1">
      <alignment horizontal="left" vertical="center" wrapText="1"/>
    </xf>
    <xf numFmtId="164" fontId="15" fillId="0" borderId="6" xfId="0" applyFont="1" applyFill="1" applyBorder="1" applyAlignment="1">
      <alignment horizontal="left" vertical="center" wrapText="1"/>
    </xf>
    <xf numFmtId="164" fontId="16" fillId="0" borderId="9" xfId="0" applyNumberFormat="1" applyFont="1" applyFill="1" applyBorder="1" applyAlignment="1">
      <alignment vertical="center" wrapText="1"/>
    </xf>
    <xf numFmtId="164" fontId="23" fillId="0" borderId="6" xfId="0" applyNumberFormat="1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center" vertical="center" wrapText="1"/>
    </xf>
    <xf numFmtId="164" fontId="16" fillId="0" borderId="10" xfId="0" applyFont="1" applyFill="1" applyBorder="1" applyAlignment="1">
      <alignment vertical="center" wrapText="1"/>
    </xf>
    <xf numFmtId="164" fontId="0" fillId="0" borderId="11" xfId="0" applyFont="1" applyFill="1" applyBorder="1" applyAlignment="1">
      <alignment/>
    </xf>
    <xf numFmtId="168" fontId="0" fillId="0" borderId="28" xfId="0" applyNumberFormat="1" applyFont="1" applyFill="1" applyBorder="1" applyAlignment="1">
      <alignment horizontal="left" vertical="center" wrapText="1"/>
    </xf>
    <xf numFmtId="164" fontId="15" fillId="0" borderId="29" xfId="0" applyFont="1" applyFill="1" applyBorder="1" applyAlignment="1">
      <alignment horizontal="left" vertical="center" wrapText="1"/>
    </xf>
    <xf numFmtId="164" fontId="15" fillId="0" borderId="30" xfId="0" applyFont="1" applyFill="1" applyBorder="1" applyAlignment="1">
      <alignment horizontal="left" vertical="center" wrapText="1"/>
    </xf>
    <xf numFmtId="164" fontId="16" fillId="0" borderId="9" xfId="0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vertical="center" wrapText="1"/>
    </xf>
    <xf numFmtId="164" fontId="0" fillId="0" borderId="31" xfId="0" applyFont="1" applyFill="1" applyBorder="1" applyAlignment="1">
      <alignment horizontal="left" vertical="center" wrapText="1"/>
    </xf>
    <xf numFmtId="164" fontId="0" fillId="0" borderId="32" xfId="0" applyFont="1" applyFill="1" applyBorder="1" applyAlignment="1">
      <alignment horizontal="left" vertical="center" wrapText="1"/>
    </xf>
    <xf numFmtId="164" fontId="0" fillId="0" borderId="33" xfId="0" applyNumberFormat="1" applyFont="1" applyFill="1" applyBorder="1" applyAlignment="1">
      <alignment horizontal="left" vertical="center" wrapText="1"/>
    </xf>
    <xf numFmtId="164" fontId="0" fillId="0" borderId="34" xfId="0" applyFont="1" applyFill="1" applyBorder="1" applyAlignment="1">
      <alignment horizontal="left" vertical="center" wrapText="1"/>
    </xf>
    <xf numFmtId="164" fontId="0" fillId="0" borderId="34" xfId="0" applyFont="1" applyFill="1" applyBorder="1" applyAlignment="1">
      <alignment horizontal="right" vertical="center" wrapText="1"/>
    </xf>
    <xf numFmtId="164" fontId="0" fillId="0" borderId="35" xfId="0" applyFont="1" applyFill="1" applyBorder="1" applyAlignment="1">
      <alignment horizontal="left" vertical="center" wrapText="1"/>
    </xf>
    <xf numFmtId="164" fontId="0" fillId="0" borderId="36" xfId="0" applyFont="1" applyFill="1" applyBorder="1" applyAlignment="1">
      <alignment horizontal="left" vertical="center" wrapText="1"/>
    </xf>
    <xf numFmtId="164" fontId="15" fillId="0" borderId="37" xfId="0" applyFont="1" applyFill="1" applyBorder="1" applyAlignment="1">
      <alignment horizontal="left" vertical="center" wrapText="1"/>
    </xf>
    <xf numFmtId="164" fontId="15" fillId="0" borderId="34" xfId="0" applyFont="1" applyFill="1" applyBorder="1" applyAlignment="1">
      <alignment horizontal="left" vertical="center" wrapText="1"/>
    </xf>
    <xf numFmtId="164" fontId="15" fillId="0" borderId="38" xfId="0" applyNumberFormat="1" applyFont="1" applyFill="1" applyBorder="1" applyAlignment="1">
      <alignment horizontal="left" vertical="center" wrapText="1"/>
    </xf>
    <xf numFmtId="164" fontId="16" fillId="0" borderId="37" xfId="0" applyFont="1" applyFill="1" applyBorder="1" applyAlignment="1">
      <alignment horizontal="left" vertical="center" wrapText="1"/>
    </xf>
    <xf numFmtId="164" fontId="16" fillId="0" borderId="34" xfId="0" applyFont="1" applyFill="1" applyBorder="1" applyAlignment="1">
      <alignment horizontal="left" vertical="center" wrapText="1"/>
    </xf>
    <xf numFmtId="164" fontId="16" fillId="0" borderId="38" xfId="0" applyFont="1" applyFill="1" applyBorder="1" applyAlignment="1">
      <alignment horizontal="left" vertical="center" wrapText="1"/>
    </xf>
    <xf numFmtId="164" fontId="0" fillId="0" borderId="37" xfId="0" applyFont="1" applyFill="1" applyBorder="1" applyAlignment="1">
      <alignment horizontal="left" vertical="center" wrapText="1"/>
    </xf>
    <xf numFmtId="164" fontId="0" fillId="0" borderId="38" xfId="0" applyFont="1" applyFill="1" applyBorder="1" applyAlignment="1">
      <alignment horizontal="left" vertical="center" wrapText="1"/>
    </xf>
    <xf numFmtId="164" fontId="0" fillId="0" borderId="38" xfId="0" applyFont="1" applyFill="1" applyBorder="1" applyAlignment="1">
      <alignment horizontal="center" vertical="center" wrapText="1"/>
    </xf>
    <xf numFmtId="168" fontId="20" fillId="0" borderId="8" xfId="0" applyNumberFormat="1" applyFont="1" applyFill="1" applyBorder="1" applyAlignment="1">
      <alignment horizontal="left" vertical="center" wrapText="1"/>
    </xf>
    <xf numFmtId="164" fontId="0" fillId="0" borderId="9" xfId="0" applyNumberFormat="1" applyFont="1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horizontal="left" vertical="center" wrapText="1"/>
    </xf>
    <xf numFmtId="164" fontId="0" fillId="0" borderId="12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left" vertical="center" wrapText="1"/>
    </xf>
    <xf numFmtId="164" fontId="0" fillId="0" borderId="8" xfId="0" applyNumberFormat="1" applyFont="1" applyFill="1" applyBorder="1" applyAlignment="1">
      <alignment horizontal="left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0" borderId="6" xfId="0" applyFont="1" applyFill="1" applyBorder="1" applyAlignment="1">
      <alignment horizontal="center" vertical="center" wrapText="1"/>
    </xf>
    <xf numFmtId="164" fontId="16" fillId="0" borderId="10" xfId="0" applyFont="1" applyFill="1" applyBorder="1" applyAlignment="1">
      <alignment horizontal="center" vertical="center" wrapText="1"/>
    </xf>
    <xf numFmtId="164" fontId="24" fillId="0" borderId="9" xfId="0" applyFont="1" applyFill="1" applyBorder="1" applyAlignment="1">
      <alignment horizontal="left" vertical="center" wrapText="1"/>
    </xf>
    <xf numFmtId="164" fontId="24" fillId="0" borderId="6" xfId="0" applyNumberFormat="1" applyFont="1" applyFill="1" applyBorder="1" applyAlignment="1">
      <alignment horizontal="left" vertical="center" wrapText="1"/>
    </xf>
    <xf numFmtId="164" fontId="0" fillId="0" borderId="28" xfId="0" applyFont="1" applyFill="1" applyBorder="1" applyAlignment="1">
      <alignment horizontal="left" vertical="center" wrapText="1"/>
    </xf>
    <xf numFmtId="164" fontId="20" fillId="0" borderId="8" xfId="0" applyFont="1" applyFill="1" applyBorder="1" applyAlignment="1">
      <alignment horizontal="left" vertical="center" wrapText="1"/>
    </xf>
    <xf numFmtId="164" fontId="25" fillId="0" borderId="28" xfId="0" applyFont="1" applyFill="1" applyBorder="1" applyAlignment="1">
      <alignment horizontal="left" vertical="center" wrapText="1"/>
    </xf>
    <xf numFmtId="164" fontId="15" fillId="0" borderId="10" xfId="0" applyFont="1" applyFill="1" applyBorder="1" applyAlignment="1">
      <alignment horizontal="left" vertical="center" wrapText="1"/>
    </xf>
    <xf numFmtId="164" fontId="24" fillId="0" borderId="6" xfId="0" applyFont="1" applyFill="1" applyBorder="1" applyAlignment="1">
      <alignment horizontal="left" vertical="center" wrapText="1"/>
    </xf>
    <xf numFmtId="164" fontId="0" fillId="0" borderId="39" xfId="0" applyFont="1" applyFill="1" applyBorder="1" applyAlignment="1">
      <alignment horizontal="center" vertical="center"/>
    </xf>
    <xf numFmtId="164" fontId="0" fillId="10" borderId="6" xfId="0" applyFont="1" applyFill="1" applyBorder="1" applyAlignment="1">
      <alignment horizontal="left" vertical="center" wrapText="1"/>
    </xf>
    <xf numFmtId="164" fontId="24" fillId="0" borderId="28" xfId="0" applyFont="1" applyFill="1" applyBorder="1" applyAlignment="1">
      <alignment horizontal="left" vertical="center" wrapText="1"/>
    </xf>
    <xf numFmtId="164" fontId="0" fillId="10" borderId="3" xfId="0" applyFont="1" applyFill="1" applyBorder="1" applyAlignment="1">
      <alignment vertical="center" wrapText="1"/>
    </xf>
    <xf numFmtId="164" fontId="0" fillId="10" borderId="4" xfId="0" applyFont="1" applyFill="1" applyBorder="1" applyAlignment="1">
      <alignment vertical="center" wrapText="1"/>
    </xf>
    <xf numFmtId="164" fontId="0" fillId="10" borderId="5" xfId="0" applyNumberFormat="1" applyFont="1" applyFill="1" applyBorder="1" applyAlignment="1">
      <alignment vertical="center" wrapText="1"/>
    </xf>
    <xf numFmtId="164" fontId="0" fillId="10" borderId="6" xfId="0" applyFont="1" applyFill="1" applyBorder="1" applyAlignment="1">
      <alignment horizontal="right" vertical="center" wrapText="1"/>
    </xf>
    <xf numFmtId="164" fontId="0" fillId="10" borderId="7" xfId="0" applyNumberFormat="1" applyFont="1" applyFill="1" applyBorder="1" applyAlignment="1">
      <alignment vertical="center" wrapText="1"/>
    </xf>
    <xf numFmtId="164" fontId="0" fillId="10" borderId="8" xfId="0" applyNumberFormat="1" applyFont="1" applyFill="1" applyBorder="1" applyAlignment="1">
      <alignment vertical="center" wrapText="1"/>
    </xf>
    <xf numFmtId="164" fontId="15" fillId="10" borderId="9" xfId="0" applyFont="1" applyFill="1" applyBorder="1" applyAlignment="1">
      <alignment vertical="center" wrapText="1"/>
    </xf>
    <xf numFmtId="164" fontId="15" fillId="10" borderId="6" xfId="0" applyFont="1" applyFill="1" applyBorder="1" applyAlignment="1">
      <alignment vertical="center" wrapText="1"/>
    </xf>
    <xf numFmtId="164" fontId="15" fillId="10" borderId="10" xfId="0" applyNumberFormat="1" applyFont="1" applyFill="1" applyBorder="1" applyAlignment="1">
      <alignment vertical="center" wrapText="1"/>
    </xf>
    <xf numFmtId="164" fontId="16" fillId="10" borderId="9" xfId="0" applyNumberFormat="1" applyFont="1" applyFill="1" applyBorder="1" applyAlignment="1">
      <alignment vertical="center" wrapText="1"/>
    </xf>
    <xf numFmtId="164" fontId="16" fillId="10" borderId="6" xfId="0" applyFont="1" applyFill="1" applyBorder="1" applyAlignment="1">
      <alignment vertical="center" wrapText="1"/>
    </xf>
    <xf numFmtId="164" fontId="16" fillId="10" borderId="10" xfId="0" applyNumberFormat="1" applyFont="1" applyFill="1" applyBorder="1" applyAlignment="1">
      <alignment vertical="center" wrapText="1"/>
    </xf>
    <xf numFmtId="164" fontId="0" fillId="10" borderId="9" xfId="0" applyFont="1" applyFill="1" applyBorder="1" applyAlignment="1">
      <alignment vertical="center" wrapText="1"/>
    </xf>
    <xf numFmtId="164" fontId="0" fillId="10" borderId="6" xfId="0" applyNumberFormat="1" applyFont="1" applyFill="1" applyBorder="1" applyAlignment="1">
      <alignment vertical="center" wrapText="1"/>
    </xf>
    <xf numFmtId="164" fontId="0" fillId="10" borderId="10" xfId="0" applyNumberFormat="1" applyFont="1" applyFill="1" applyBorder="1" applyAlignment="1">
      <alignment vertical="center" wrapText="1"/>
    </xf>
    <xf numFmtId="164" fontId="0" fillId="10" borderId="10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vertical="center" wrapText="1"/>
    </xf>
    <xf numFmtId="164" fontId="0" fillId="0" borderId="4" xfId="0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vertical="center" wrapText="1"/>
    </xf>
    <xf numFmtId="164" fontId="0" fillId="0" borderId="7" xfId="0" applyFont="1" applyFill="1" applyBorder="1" applyAlignment="1">
      <alignment vertical="center" wrapText="1"/>
    </xf>
    <xf numFmtId="164" fontId="0" fillId="0" borderId="8" xfId="0" applyFont="1" applyFill="1" applyBorder="1" applyAlignment="1">
      <alignment vertical="center" wrapText="1"/>
    </xf>
    <xf numFmtId="164" fontId="15" fillId="0" borderId="9" xfId="0" applyFont="1" applyFill="1" applyBorder="1" applyAlignment="1">
      <alignment vertical="center" wrapText="1"/>
    </xf>
    <xf numFmtId="164" fontId="15" fillId="0" borderId="6" xfId="0" applyFont="1" applyFill="1" applyBorder="1" applyAlignment="1">
      <alignment vertical="center" wrapText="1"/>
    </xf>
    <xf numFmtId="164" fontId="15" fillId="0" borderId="10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vertical="center" wrapText="1"/>
    </xf>
    <xf numFmtId="164" fontId="0" fillId="0" borderId="6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24" fillId="0" borderId="8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164" fontId="24" fillId="0" borderId="9" xfId="0" applyNumberFormat="1" applyFont="1" applyFill="1" applyBorder="1" applyAlignment="1">
      <alignment horizontal="left" vertical="center" wrapText="1"/>
    </xf>
    <xf numFmtId="164" fontId="0" fillId="0" borderId="16" xfId="0" applyFont="1" applyFill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left" vertical="center" wrapText="1"/>
    </xf>
    <xf numFmtId="164" fontId="24" fillId="0" borderId="40" xfId="0" applyFont="1" applyFill="1" applyBorder="1" applyAlignment="1">
      <alignment horizontal="left" vertical="center" wrapText="1"/>
    </xf>
    <xf numFmtId="164" fontId="24" fillId="0" borderId="30" xfId="0" applyFont="1" applyFill="1" applyBorder="1" applyAlignment="1">
      <alignment horizontal="left" vertical="center" wrapText="1"/>
    </xf>
    <xf numFmtId="164" fontId="24" fillId="0" borderId="30" xfId="0" applyNumberFormat="1" applyFont="1" applyFill="1" applyBorder="1" applyAlignment="1">
      <alignment horizontal="left" vertical="center" wrapText="1"/>
    </xf>
    <xf numFmtId="164" fontId="24" fillId="0" borderId="28" xfId="0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horizontal="left" vertical="center" wrapText="1"/>
    </xf>
    <xf numFmtId="164" fontId="24" fillId="10" borderId="9" xfId="0" applyNumberFormat="1" applyFont="1" applyFill="1" applyBorder="1" applyAlignment="1">
      <alignment horizontal="left" vertical="center" wrapText="1"/>
    </xf>
    <xf numFmtId="164" fontId="0" fillId="9" borderId="9" xfId="0" applyFont="1" applyFill="1" applyBorder="1" applyAlignment="1">
      <alignment horizontal="left" vertical="center" wrapText="1"/>
    </xf>
    <xf numFmtId="164" fontId="0" fillId="9" borderId="6" xfId="0" applyNumberFormat="1" applyFont="1" applyFill="1" applyBorder="1" applyAlignment="1">
      <alignment horizontal="left" vertical="center" wrapText="1"/>
    </xf>
    <xf numFmtId="164" fontId="16" fillId="16" borderId="9" xfId="0" applyNumberFormat="1" applyFont="1" applyFill="1" applyBorder="1" applyAlignment="1">
      <alignment vertical="center" wrapText="1"/>
    </xf>
    <xf numFmtId="164" fontId="0" fillId="0" borderId="34" xfId="0" applyNumberFormat="1" applyFont="1" applyFill="1" applyBorder="1" applyAlignment="1">
      <alignment horizontal="left" vertical="center" wrapText="1"/>
    </xf>
    <xf numFmtId="164" fontId="0" fillId="0" borderId="41" xfId="0" applyFont="1" applyFill="1" applyBorder="1" applyAlignment="1">
      <alignment horizontal="left" vertical="center" wrapText="1"/>
    </xf>
    <xf numFmtId="164" fontId="15" fillId="10" borderId="10" xfId="0" applyNumberFormat="1" applyFont="1" applyFill="1" applyBorder="1" applyAlignment="1">
      <alignment horizontal="left" vertical="center" wrapText="1"/>
    </xf>
    <xf numFmtId="164" fontId="24" fillId="0" borderId="3" xfId="0" applyFont="1" applyFill="1" applyBorder="1" applyAlignment="1">
      <alignment vertical="center" wrapText="1"/>
    </xf>
    <xf numFmtId="164" fontId="24" fillId="0" borderId="4" xfId="0" applyFont="1" applyFill="1" applyBorder="1" applyAlignment="1">
      <alignment vertical="center" wrapText="1"/>
    </xf>
    <xf numFmtId="164" fontId="24" fillId="0" borderId="5" xfId="0" applyNumberFormat="1" applyFont="1" applyFill="1" applyBorder="1" applyAlignment="1">
      <alignment vertical="center" wrapText="1"/>
    </xf>
    <xf numFmtId="164" fontId="24" fillId="0" borderId="6" xfId="0" applyFont="1" applyFill="1" applyBorder="1" applyAlignment="1">
      <alignment horizontal="right" vertical="center" wrapText="1"/>
    </xf>
    <xf numFmtId="164" fontId="24" fillId="0" borderId="7" xfId="0" applyFont="1" applyFill="1" applyBorder="1" applyAlignment="1">
      <alignment vertical="center" wrapText="1"/>
    </xf>
    <xf numFmtId="164" fontId="24" fillId="0" borderId="8" xfId="0" applyFont="1" applyFill="1" applyBorder="1" applyAlignment="1">
      <alignment vertical="center" wrapText="1"/>
    </xf>
    <xf numFmtId="164" fontId="24" fillId="0" borderId="9" xfId="0" applyFont="1" applyFill="1" applyBorder="1" applyAlignment="1">
      <alignment vertical="center" wrapText="1"/>
    </xf>
    <xf numFmtId="164" fontId="24" fillId="0" borderId="6" xfId="0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vertical="center" wrapText="1"/>
    </xf>
    <xf numFmtId="164" fontId="24" fillId="0" borderId="40" xfId="0" applyNumberFormat="1" applyFont="1" applyFill="1" applyBorder="1" applyAlignment="1">
      <alignment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3" xfId="0" applyFont="1" applyFill="1" applyBorder="1" applyAlignment="1">
      <alignment horizontal="left" vertical="center" wrapText="1"/>
    </xf>
    <xf numFmtId="164" fontId="24" fillId="0" borderId="4" xfId="0" applyFont="1" applyFill="1" applyBorder="1" applyAlignment="1">
      <alignment horizontal="left" vertical="center" wrapText="1"/>
    </xf>
    <xf numFmtId="164" fontId="24" fillId="0" borderId="5" xfId="0" applyNumberFormat="1" applyFont="1" applyFill="1" applyBorder="1" applyAlignment="1">
      <alignment horizontal="left" vertical="center" wrapText="1"/>
    </xf>
    <xf numFmtId="164" fontId="24" fillId="0" borderId="7" xfId="0" applyNumberFormat="1" applyFont="1" applyFill="1" applyBorder="1" applyAlignment="1">
      <alignment horizontal="left" vertical="center" wrapText="1"/>
    </xf>
    <xf numFmtId="164" fontId="24" fillId="0" borderId="8" xfId="0" applyNumberFormat="1" applyFont="1" applyFill="1" applyBorder="1" applyAlignment="1">
      <alignment horizontal="left" vertical="center" wrapText="1"/>
    </xf>
    <xf numFmtId="164" fontId="24" fillId="0" borderId="7" xfId="0" applyNumberFormat="1" applyFont="1" applyFill="1" applyBorder="1" applyAlignment="1">
      <alignment horizontal="left" vertical="center" wrapText="1"/>
    </xf>
    <xf numFmtId="164" fontId="25" fillId="0" borderId="8" xfId="0" applyNumberFormat="1" applyFont="1" applyFill="1" applyBorder="1" applyAlignment="1">
      <alignment horizontal="left" vertical="center" wrapText="1"/>
    </xf>
    <xf numFmtId="164" fontId="24" fillId="0" borderId="40" xfId="0" applyNumberFormat="1" applyFont="1" applyFill="1" applyBorder="1" applyAlignment="1">
      <alignment horizontal="left" vertical="center" wrapText="1"/>
    </xf>
    <xf numFmtId="164" fontId="0" fillId="0" borderId="5" xfId="0" applyFont="1" applyFill="1" applyBorder="1" applyAlignment="1">
      <alignment horizontal="left" vertical="center" wrapText="1"/>
    </xf>
    <xf numFmtId="164" fontId="0" fillId="10" borderId="9" xfId="0" applyFont="1" applyFill="1" applyBorder="1" applyAlignment="1">
      <alignment horizontal="left" vertical="center" wrapText="1"/>
    </xf>
    <xf numFmtId="164" fontId="16" fillId="0" borderId="29" xfId="0" applyNumberFormat="1" applyFont="1" applyFill="1" applyBorder="1" applyAlignment="1">
      <alignment horizontal="left" vertical="center" wrapText="1"/>
    </xf>
    <xf numFmtId="164" fontId="0" fillId="0" borderId="29" xfId="0" applyNumberFormat="1" applyFont="1" applyFill="1" applyBorder="1" applyAlignment="1">
      <alignment horizontal="left" vertical="center" wrapText="1"/>
    </xf>
    <xf numFmtId="164" fontId="16" fillId="0" borderId="4" xfId="0" applyFont="1" applyFill="1" applyBorder="1" applyAlignment="1">
      <alignment horizontal="left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7" xfId="0" applyFont="1" applyFill="1" applyBorder="1" applyAlignment="1">
      <alignment horizontal="left" vertical="center" wrapText="1"/>
    </xf>
    <xf numFmtId="164" fontId="24" fillId="0" borderId="9" xfId="0" applyNumberFormat="1" applyFont="1" applyFill="1" applyBorder="1" applyAlignment="1">
      <alignment vertical="center" wrapText="1"/>
    </xf>
    <xf numFmtId="164" fontId="24" fillId="0" borderId="11" xfId="0" applyFont="1" applyFill="1" applyBorder="1" applyAlignment="1">
      <alignment/>
    </xf>
    <xf numFmtId="164" fontId="24" fillId="0" borderId="0" xfId="0" applyFont="1" applyFill="1" applyAlignment="1">
      <alignment/>
    </xf>
    <xf numFmtId="164" fontId="24" fillId="10" borderId="3" xfId="0" applyFont="1" applyFill="1" applyBorder="1" applyAlignment="1">
      <alignment horizontal="left" vertical="center" wrapText="1"/>
    </xf>
    <xf numFmtId="164" fontId="24" fillId="10" borderId="4" xfId="0" applyFont="1" applyFill="1" applyBorder="1" applyAlignment="1">
      <alignment horizontal="left" vertical="center" wrapText="1"/>
    </xf>
    <xf numFmtId="164" fontId="24" fillId="10" borderId="5" xfId="0" applyNumberFormat="1" applyFont="1" applyFill="1" applyBorder="1" applyAlignment="1">
      <alignment horizontal="left" vertical="center" wrapText="1"/>
    </xf>
    <xf numFmtId="164" fontId="24" fillId="10" borderId="6" xfId="0" applyNumberFormat="1" applyFont="1" applyFill="1" applyBorder="1" applyAlignment="1">
      <alignment horizontal="left" vertical="center" wrapText="1"/>
    </xf>
    <xf numFmtId="164" fontId="24" fillId="10" borderId="6" xfId="0" applyFont="1" applyFill="1" applyBorder="1" applyAlignment="1">
      <alignment horizontal="right" vertical="center" wrapText="1"/>
    </xf>
    <xf numFmtId="164" fontId="24" fillId="10" borderId="6" xfId="0" applyFont="1" applyFill="1" applyBorder="1" applyAlignment="1">
      <alignment horizontal="center" vertical="center" wrapText="1"/>
    </xf>
    <xf numFmtId="164" fontId="24" fillId="10" borderId="7" xfId="0" applyFont="1" applyFill="1" applyBorder="1" applyAlignment="1">
      <alignment horizontal="left" vertical="center" wrapText="1"/>
    </xf>
    <xf numFmtId="164" fontId="24" fillId="10" borderId="8" xfId="0" applyFont="1" applyFill="1" applyBorder="1" applyAlignment="1">
      <alignment horizontal="left" vertical="center" wrapText="1"/>
    </xf>
    <xf numFmtId="164" fontId="24" fillId="10" borderId="9" xfId="0" applyFont="1" applyFill="1" applyBorder="1" applyAlignment="1">
      <alignment horizontal="left" vertical="center" wrapText="1"/>
    </xf>
    <xf numFmtId="164" fontId="24" fillId="10" borderId="10" xfId="0" applyFont="1" applyFill="1" applyBorder="1" applyAlignment="1">
      <alignment horizontal="left" vertical="center" wrapText="1"/>
    </xf>
    <xf numFmtId="164" fontId="16" fillId="10" borderId="29" xfId="0" applyNumberFormat="1" applyFont="1" applyFill="1" applyBorder="1" applyAlignment="1">
      <alignment horizontal="left" vertical="center" wrapText="1"/>
    </xf>
    <xf numFmtId="164" fontId="16" fillId="10" borderId="6" xfId="0" applyFont="1" applyFill="1" applyBorder="1" applyAlignment="1">
      <alignment horizontal="left" vertical="center" wrapText="1"/>
    </xf>
    <xf numFmtId="164" fontId="24" fillId="10" borderId="10" xfId="0" applyFont="1" applyFill="1" applyBorder="1" applyAlignment="1">
      <alignment horizontal="center" vertical="center" wrapText="1"/>
    </xf>
    <xf numFmtId="164" fontId="16" fillId="0" borderId="5" xfId="0" applyFont="1" applyFill="1" applyBorder="1" applyAlignment="1">
      <alignment horizontal="left" vertical="center" wrapText="1"/>
    </xf>
    <xf numFmtId="164" fontId="0" fillId="0" borderId="41" xfId="0" applyNumberFormat="1" applyFont="1" applyFill="1" applyBorder="1" applyAlignment="1">
      <alignment horizontal="left" vertical="center" wrapText="1"/>
    </xf>
    <xf numFmtId="164" fontId="0" fillId="0" borderId="36" xfId="0" applyNumberFormat="1" applyFont="1" applyFill="1" applyBorder="1" applyAlignment="1">
      <alignment horizontal="left" vertical="center" wrapText="1"/>
    </xf>
    <xf numFmtId="164" fontId="16" fillId="0" borderId="9" xfId="0" applyFont="1" applyFill="1" applyBorder="1" applyAlignment="1">
      <alignment vertical="center" wrapText="1"/>
    </xf>
    <xf numFmtId="164" fontId="24" fillId="0" borderId="6" xfId="0" applyNumberFormat="1" applyFont="1" applyFill="1" applyBorder="1" applyAlignment="1">
      <alignment vertical="center" wrapText="1"/>
    </xf>
    <xf numFmtId="164" fontId="24" fillId="0" borderId="10" xfId="0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164" fontId="0" fillId="0" borderId="7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vertical="center" wrapText="1"/>
    </xf>
    <xf numFmtId="164" fontId="15" fillId="0" borderId="6" xfId="0" applyNumberFormat="1" applyFont="1" applyFill="1" applyBorder="1" applyAlignment="1">
      <alignment horizontal="left" vertical="center" wrapText="1"/>
    </xf>
    <xf numFmtId="164" fontId="16" fillId="16" borderId="9" xfId="0" applyNumberFormat="1" applyFont="1" applyFill="1" applyBorder="1" applyAlignment="1">
      <alignment horizontal="left" vertical="center" wrapText="1"/>
    </xf>
    <xf numFmtId="164" fontId="16" fillId="16" borderId="6" xfId="0" applyNumberFormat="1" applyFont="1" applyFill="1" applyBorder="1" applyAlignment="1">
      <alignment horizontal="right" vertical="center" wrapText="1"/>
    </xf>
    <xf numFmtId="164" fontId="16" fillId="0" borderId="6" xfId="0" applyNumberFormat="1" applyFont="1" applyFill="1" applyBorder="1" applyAlignment="1">
      <alignment horizontal="right" vertical="center" wrapText="1"/>
    </xf>
    <xf numFmtId="164" fontId="16" fillId="0" borderId="9" xfId="0" applyNumberFormat="1" applyFont="1" applyFill="1" applyBorder="1" applyAlignment="1">
      <alignment horizontal="left" vertical="center" wrapText="1"/>
    </xf>
    <xf numFmtId="164" fontId="16" fillId="0" borderId="6" xfId="0" applyNumberFormat="1" applyFont="1" applyFill="1" applyBorder="1" applyAlignment="1">
      <alignment horizontal="left" vertical="center" wrapText="1"/>
    </xf>
    <xf numFmtId="164" fontId="0" fillId="0" borderId="28" xfId="0" applyFont="1" applyFill="1" applyBorder="1" applyAlignment="1">
      <alignment vertical="center" wrapText="1"/>
    </xf>
    <xf numFmtId="164" fontId="15" fillId="0" borderId="12" xfId="0" applyNumberFormat="1" applyFont="1" applyFill="1" applyBorder="1" applyAlignment="1">
      <alignment horizontal="left" vertical="center" wrapText="1"/>
    </xf>
    <xf numFmtId="164" fontId="0" fillId="0" borderId="29" xfId="0" applyFont="1" applyFill="1" applyBorder="1" applyAlignment="1">
      <alignment horizontal="left" vertical="center" wrapText="1"/>
    </xf>
    <xf numFmtId="164" fontId="0" fillId="0" borderId="30" xfId="0" applyFont="1" applyFill="1" applyBorder="1" applyAlignment="1">
      <alignment horizontal="left" vertical="center" wrapText="1"/>
    </xf>
    <xf numFmtId="164" fontId="0" fillId="0" borderId="40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left" vertical="center" wrapText="1"/>
    </xf>
    <xf numFmtId="164" fontId="20" fillId="0" borderId="40" xfId="0" applyFont="1" applyFill="1" applyBorder="1" applyAlignment="1">
      <alignment horizontal="center" vertical="center" wrapText="1"/>
    </xf>
    <xf numFmtId="164" fontId="25" fillId="0" borderId="9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horizontal="left" vertical="center" wrapText="1"/>
    </xf>
    <xf numFmtId="164" fontId="16" fillId="0" borderId="10" xfId="0" applyNumberFormat="1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27" fillId="0" borderId="7" xfId="0" applyFont="1" applyFill="1" applyBorder="1" applyAlignment="1">
      <alignment horizontal="left" vertical="center" wrapText="1"/>
    </xf>
    <xf numFmtId="164" fontId="25" fillId="0" borderId="8" xfId="0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vertical="center" wrapText="1"/>
    </xf>
    <xf numFmtId="164" fontId="15" fillId="0" borderId="29" xfId="0" applyNumberFormat="1" applyFont="1" applyFill="1" applyBorder="1" applyAlignment="1">
      <alignment horizontal="left" vertical="center" wrapText="1"/>
    </xf>
    <xf numFmtId="164" fontId="15" fillId="0" borderId="42" xfId="0" applyNumberFormat="1" applyFont="1" applyFill="1" applyBorder="1" applyAlignment="1">
      <alignment horizontal="left" vertical="center" wrapText="1"/>
    </xf>
    <xf numFmtId="164" fontId="16" fillId="0" borderId="43" xfId="0" applyFont="1" applyFill="1" applyBorder="1" applyAlignment="1">
      <alignment horizontal="left" vertical="center" wrapText="1"/>
    </xf>
    <xf numFmtId="164" fontId="24" fillId="0" borderId="40" xfId="0" applyNumberFormat="1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4" fillId="10" borderId="7" xfId="0" applyFont="1" applyFill="1" applyBorder="1" applyAlignment="1">
      <alignment vertical="center" wrapText="1"/>
    </xf>
    <xf numFmtId="164" fontId="24" fillId="10" borderId="8" xfId="0" applyFont="1" applyFill="1" applyBorder="1" applyAlignment="1">
      <alignment vertical="center" wrapText="1"/>
    </xf>
    <xf numFmtId="164" fontId="0" fillId="16" borderId="7" xfId="0" applyFont="1" applyFill="1" applyBorder="1" applyAlignment="1">
      <alignment horizontal="left" vertical="center" wrapText="1"/>
    </xf>
    <xf numFmtId="164" fontId="0" fillId="16" borderId="8" xfId="0" applyFont="1" applyFill="1" applyBorder="1" applyAlignment="1">
      <alignment horizontal="left" vertical="center" wrapText="1"/>
    </xf>
    <xf numFmtId="164" fontId="16" fillId="16" borderId="6" xfId="0" applyNumberFormat="1" applyFont="1" applyFill="1" applyBorder="1" applyAlignment="1">
      <alignment horizontal="left" vertical="center" wrapText="1"/>
    </xf>
    <xf numFmtId="164" fontId="16" fillId="16" borderId="10" xfId="0" applyFont="1" applyFill="1" applyBorder="1" applyAlignment="1">
      <alignment horizontal="left" vertical="center" wrapText="1"/>
    </xf>
    <xf numFmtId="164" fontId="0" fillId="10" borderId="6" xfId="0" applyNumberFormat="1" applyFont="1" applyFill="1" applyBorder="1" applyAlignment="1">
      <alignment horizontal="left" vertical="center" wrapText="1"/>
    </xf>
    <xf numFmtId="164" fontId="15" fillId="10" borderId="9" xfId="0" applyFont="1" applyFill="1" applyBorder="1" applyAlignment="1">
      <alignment horizontal="left" vertical="center" wrapText="1"/>
    </xf>
    <xf numFmtId="164" fontId="15" fillId="10" borderId="6" xfId="0" applyNumberFormat="1" applyFont="1" applyFill="1" applyBorder="1" applyAlignment="1">
      <alignment horizontal="left" vertical="center" wrapText="1"/>
    </xf>
    <xf numFmtId="164" fontId="24" fillId="0" borderId="3" xfId="0" applyNumberFormat="1" applyFont="1" applyFill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left" vertical="center" wrapText="1"/>
    </xf>
    <xf numFmtId="164" fontId="20" fillId="0" borderId="8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24" fillId="0" borderId="29" xfId="0" applyNumberFormat="1" applyFont="1" applyFill="1" applyBorder="1" applyAlignment="1">
      <alignment vertical="center" wrapText="1"/>
    </xf>
    <xf numFmtId="164" fontId="24" fillId="0" borderId="6" xfId="0" applyNumberFormat="1" applyFont="1" applyFill="1" applyBorder="1" applyAlignment="1">
      <alignment vertical="center" wrapText="1"/>
    </xf>
    <xf numFmtId="164" fontId="24" fillId="0" borderId="5" xfId="0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164" fontId="15" fillId="0" borderId="29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left" vertical="center" wrapText="1"/>
    </xf>
    <xf numFmtId="164" fontId="25" fillId="0" borderId="7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8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 wrapText="1"/>
    </xf>
    <xf numFmtId="164" fontId="15" fillId="16" borderId="10" xfId="0" applyNumberFormat="1" applyFont="1" applyFill="1" applyBorder="1" applyAlignment="1">
      <alignment horizontal="left" vertical="center" wrapText="1"/>
    </xf>
    <xf numFmtId="164" fontId="16" fillId="16" borderId="9" xfId="0" applyFont="1" applyFill="1" applyBorder="1" applyAlignment="1">
      <alignment horizontal="left" vertical="center" wrapText="1"/>
    </xf>
    <xf numFmtId="164" fontId="15" fillId="16" borderId="9" xfId="0" applyFont="1" applyFill="1" applyBorder="1" applyAlignment="1">
      <alignment wrapText="1"/>
    </xf>
    <xf numFmtId="164" fontId="15" fillId="16" borderId="6" xfId="0" applyFont="1" applyFill="1" applyBorder="1" applyAlignment="1">
      <alignment wrapText="1"/>
    </xf>
    <xf numFmtId="164" fontId="15" fillId="16" borderId="10" xfId="0" applyNumberFormat="1" applyFont="1" applyFill="1" applyBorder="1" applyAlignment="1">
      <alignment vertical="center" wrapText="1"/>
    </xf>
    <xf numFmtId="164" fontId="16" fillId="16" borderId="6" xfId="0" applyFont="1" applyFill="1" applyBorder="1" applyAlignment="1">
      <alignment vertical="center" wrapText="1"/>
    </xf>
    <xf numFmtId="164" fontId="16" fillId="16" borderId="10" xfId="0" applyFont="1" applyFill="1" applyBorder="1" applyAlignment="1">
      <alignment vertical="center" wrapText="1"/>
    </xf>
    <xf numFmtId="164" fontId="0" fillId="10" borderId="3" xfId="0" applyFont="1" applyFill="1" applyBorder="1" applyAlignment="1">
      <alignment horizontal="left" vertical="center" wrapText="1"/>
    </xf>
    <xf numFmtId="164" fontId="0" fillId="10" borderId="4" xfId="0" applyFont="1" applyFill="1" applyBorder="1" applyAlignment="1">
      <alignment horizontal="left" vertical="center" wrapText="1"/>
    </xf>
    <xf numFmtId="164" fontId="0" fillId="10" borderId="5" xfId="0" applyNumberFormat="1" applyFont="1" applyFill="1" applyBorder="1" applyAlignment="1">
      <alignment horizontal="left" vertical="center" wrapText="1"/>
    </xf>
    <xf numFmtId="164" fontId="0" fillId="10" borderId="7" xfId="0" applyFont="1" applyFill="1" applyBorder="1" applyAlignment="1">
      <alignment horizontal="left" vertical="center" wrapText="1"/>
    </xf>
    <xf numFmtId="164" fontId="0" fillId="10" borderId="8" xfId="0" applyFont="1" applyFill="1" applyBorder="1" applyAlignment="1">
      <alignment horizontal="left" vertical="center" wrapText="1"/>
    </xf>
    <xf numFmtId="164" fontId="15" fillId="10" borderId="6" xfId="0" applyFont="1" applyFill="1" applyBorder="1" applyAlignment="1">
      <alignment horizontal="left" vertical="center" wrapText="1"/>
    </xf>
    <xf numFmtId="164" fontId="16" fillId="10" borderId="9" xfId="0" applyNumberFormat="1" applyFont="1" applyFill="1" applyBorder="1" applyAlignment="1">
      <alignment horizontal="left" vertical="center" wrapText="1"/>
    </xf>
    <xf numFmtId="164" fontId="16" fillId="10" borderId="6" xfId="0" applyNumberFormat="1" applyFont="1" applyFill="1" applyBorder="1" applyAlignment="1">
      <alignment horizontal="left" vertical="center" wrapText="1"/>
    </xf>
    <xf numFmtId="164" fontId="0" fillId="10" borderId="29" xfId="0" applyFont="1" applyFill="1" applyBorder="1" applyAlignment="1">
      <alignment horizontal="left" vertical="center" wrapText="1"/>
    </xf>
    <xf numFmtId="164" fontId="0" fillId="10" borderId="30" xfId="0" applyFont="1" applyFill="1" applyBorder="1" applyAlignment="1">
      <alignment horizontal="left" vertical="center" wrapText="1"/>
    </xf>
    <xf numFmtId="164" fontId="0" fillId="10" borderId="40" xfId="0" applyFont="1" applyFill="1" applyBorder="1" applyAlignment="1">
      <alignment horizontal="center" vertical="center" wrapText="1"/>
    </xf>
    <xf numFmtId="164" fontId="24" fillId="10" borderId="6" xfId="0" applyFont="1" applyFill="1" applyBorder="1" applyAlignment="1">
      <alignment horizontal="left" vertical="center" wrapText="1"/>
    </xf>
    <xf numFmtId="164" fontId="24" fillId="0" borderId="44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horizontal="center" vertical="center"/>
    </xf>
    <xf numFmtId="164" fontId="0" fillId="16" borderId="3" xfId="0" applyFont="1" applyFill="1" applyBorder="1" applyAlignment="1">
      <alignment horizontal="left" vertical="center" wrapText="1"/>
    </xf>
    <xf numFmtId="164" fontId="0" fillId="16" borderId="6" xfId="0" applyFont="1" applyFill="1" applyBorder="1" applyAlignment="1">
      <alignment horizontal="left" vertical="center" wrapText="1"/>
    </xf>
    <xf numFmtId="164" fontId="0" fillId="16" borderId="5" xfId="0" applyNumberFormat="1" applyFont="1" applyFill="1" applyBorder="1" applyAlignment="1">
      <alignment horizontal="left" vertical="center" wrapText="1"/>
    </xf>
    <xf numFmtId="164" fontId="0" fillId="16" borderId="6" xfId="0" applyFont="1" applyFill="1" applyBorder="1" applyAlignment="1">
      <alignment horizontal="right" vertical="center" wrapText="1"/>
    </xf>
    <xf numFmtId="164" fontId="0" fillId="16" borderId="8" xfId="0" applyFont="1" applyFill="1" applyBorder="1" applyAlignment="1">
      <alignment horizontal="center" vertical="center" wrapText="1"/>
    </xf>
    <xf numFmtId="164" fontId="15" fillId="16" borderId="9" xfId="0" applyFont="1" applyFill="1" applyBorder="1" applyAlignment="1">
      <alignment horizontal="left" vertical="center" wrapText="1"/>
    </xf>
    <xf numFmtId="164" fontId="15" fillId="16" borderId="6" xfId="0" applyNumberFormat="1" applyFont="1" applyFill="1" applyBorder="1" applyAlignment="1">
      <alignment horizontal="left" vertical="center" wrapText="1"/>
    </xf>
    <xf numFmtId="164" fontId="0" fillId="16" borderId="9" xfId="0" applyFont="1" applyFill="1" applyBorder="1" applyAlignment="1">
      <alignment horizontal="left" vertical="center" wrapText="1"/>
    </xf>
    <xf numFmtId="164" fontId="0" fillId="16" borderId="10" xfId="0" applyFont="1" applyFill="1" applyBorder="1" applyAlignment="1">
      <alignment horizontal="left" vertical="center" wrapText="1"/>
    </xf>
    <xf numFmtId="164" fontId="0" fillId="16" borderId="1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vertical="center" wrapText="1"/>
    </xf>
    <xf numFmtId="164" fontId="15" fillId="15" borderId="10" xfId="0" applyNumberFormat="1" applyFont="1" applyFill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vertical="center" wrapText="1"/>
    </xf>
    <xf numFmtId="164" fontId="0" fillId="0" borderId="8" xfId="0" applyNumberFormat="1" applyFont="1" applyFill="1" applyBorder="1" applyAlignment="1">
      <alignment vertical="center" wrapText="1"/>
    </xf>
    <xf numFmtId="164" fontId="16" fillId="0" borderId="4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44" xfId="0" applyFont="1" applyFill="1" applyBorder="1" applyAlignment="1">
      <alignment horizontal="left" vertical="center" wrapText="1"/>
    </xf>
    <xf numFmtId="164" fontId="0" fillId="0" borderId="45" xfId="0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16" fillId="0" borderId="46" xfId="0" applyNumberFormat="1" applyFont="1" applyFill="1" applyBorder="1" applyAlignment="1">
      <alignment horizontal="left" vertical="center" wrapText="1"/>
    </xf>
    <xf numFmtId="164" fontId="0" fillId="0" borderId="4" xfId="0" applyNumberFormat="1" applyFont="1" applyFill="1" applyBorder="1" applyAlignment="1">
      <alignment horizontal="left" vertical="center" wrapText="1"/>
    </xf>
    <xf numFmtId="164" fontId="15" fillId="0" borderId="10" xfId="0" applyNumberFormat="1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horizontal="left" vertical="center" wrapText="1"/>
    </xf>
    <xf numFmtId="164" fontId="16" fillId="0" borderId="6" xfId="0" applyNumberFormat="1" applyFont="1" applyFill="1" applyBorder="1" applyAlignment="1">
      <alignment vertical="center" wrapText="1"/>
    </xf>
    <xf numFmtId="164" fontId="0" fillId="0" borderId="47" xfId="0" applyFont="1" applyFill="1" applyBorder="1" applyAlignment="1">
      <alignment horizontal="left" vertical="center" wrapText="1"/>
    </xf>
    <xf numFmtId="164" fontId="0" fillId="0" borderId="48" xfId="0" applyFill="1" applyBorder="1" applyAlignment="1">
      <alignment horizontal="left" vertical="center" wrapText="1"/>
    </xf>
    <xf numFmtId="164" fontId="24" fillId="0" borderId="10" xfId="0" applyFont="1" applyFill="1" applyBorder="1" applyAlignment="1">
      <alignment horizontal="left" vertical="center"/>
    </xf>
    <xf numFmtId="164" fontId="15" fillId="0" borderId="49" xfId="0" applyNumberFormat="1" applyFont="1" applyFill="1" applyBorder="1" applyAlignment="1">
      <alignment horizontal="left" vertical="center" wrapText="1"/>
    </xf>
    <xf numFmtId="164" fontId="15" fillId="0" borderId="29" xfId="0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vertical="center" wrapText="1"/>
    </xf>
    <xf numFmtId="164" fontId="16" fillId="0" borderId="6" xfId="0" applyNumberFormat="1" applyFont="1" applyFill="1" applyBorder="1" applyAlignment="1">
      <alignment wrapText="1"/>
    </xf>
    <xf numFmtId="165" fontId="16" fillId="0" borderId="10" xfId="0" applyNumberFormat="1" applyFont="1" applyFill="1" applyBorder="1" applyAlignment="1">
      <alignment vertical="center" wrapText="1"/>
    </xf>
    <xf numFmtId="164" fontId="0" fillId="0" borderId="29" xfId="0" applyFont="1" applyFill="1" applyBorder="1" applyAlignment="1">
      <alignment vertical="center" wrapText="1"/>
    </xf>
    <xf numFmtId="164" fontId="0" fillId="0" borderId="30" xfId="0" applyFont="1" applyFill="1" applyBorder="1" applyAlignment="1">
      <alignment vertical="center" wrapText="1"/>
    </xf>
    <xf numFmtId="164" fontId="16" fillId="16" borderId="6" xfId="0" applyNumberFormat="1" applyFont="1" applyFill="1" applyBorder="1" applyAlignment="1">
      <alignment vertical="center" wrapText="1"/>
    </xf>
    <xf numFmtId="165" fontId="16" fillId="16" borderId="10" xfId="0" applyNumberFormat="1" applyFont="1" applyFill="1" applyBorder="1" applyAlignment="1">
      <alignment vertical="center" wrapText="1"/>
    </xf>
    <xf numFmtId="164" fontId="15" fillId="16" borderId="30" xfId="0" applyFont="1" applyFill="1" applyBorder="1" applyAlignment="1">
      <alignment vertical="center" wrapText="1"/>
    </xf>
    <xf numFmtId="164" fontId="15" fillId="0" borderId="30" xfId="0" applyFont="1" applyFill="1" applyBorder="1" applyAlignment="1">
      <alignment vertical="center" wrapText="1"/>
    </xf>
    <xf numFmtId="164" fontId="15" fillId="0" borderId="30" xfId="0" applyNumberFormat="1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horizontal="right" vertical="center" wrapText="1"/>
    </xf>
    <xf numFmtId="164" fontId="0" fillId="10" borderId="3" xfId="0" applyNumberFormat="1" applyFont="1" applyFill="1" applyBorder="1" applyAlignment="1">
      <alignment horizontal="left" vertical="center" wrapText="1"/>
    </xf>
    <xf numFmtId="164" fontId="0" fillId="10" borderId="7" xfId="0" applyNumberFormat="1" applyFont="1" applyFill="1" applyBorder="1" applyAlignment="1">
      <alignment horizontal="left" vertical="center" wrapText="1"/>
    </xf>
    <xf numFmtId="164" fontId="25" fillId="10" borderId="8" xfId="0" applyFont="1" applyFill="1" applyBorder="1" applyAlignment="1">
      <alignment horizontal="left" vertical="center" wrapText="1"/>
    </xf>
    <xf numFmtId="165" fontId="16" fillId="10" borderId="10" xfId="0" applyNumberFormat="1" applyFont="1" applyFill="1" applyBorder="1" applyAlignment="1">
      <alignment horizontal="left" vertical="center" wrapText="1"/>
    </xf>
    <xf numFmtId="164" fontId="0" fillId="10" borderId="10" xfId="0" applyNumberFormat="1" applyFont="1" applyFill="1" applyBorder="1" applyAlignment="1">
      <alignment horizontal="left" vertical="center" wrapText="1"/>
    </xf>
    <xf numFmtId="164" fontId="0" fillId="10" borderId="5" xfId="0" applyFont="1" applyFill="1" applyBorder="1" applyAlignment="1">
      <alignment horizontal="left" vertical="center" wrapText="1"/>
    </xf>
    <xf numFmtId="164" fontId="22" fillId="0" borderId="6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15" fillId="16" borderId="9" xfId="0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horizontal="left" vertical="center" wrapText="1"/>
    </xf>
    <xf numFmtId="164" fontId="16" fillId="0" borderId="29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 vertical="center" wrapText="1"/>
    </xf>
    <xf numFmtId="164" fontId="15" fillId="0" borderId="6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164" fontId="15" fillId="0" borderId="50" xfId="0" applyNumberFormat="1" applyFont="1" applyFill="1" applyBorder="1" applyAlignment="1">
      <alignment horizontal="left" vertical="center" wrapText="1"/>
    </xf>
    <xf numFmtId="164" fontId="15" fillId="16" borderId="40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164" fontId="0" fillId="0" borderId="17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1" xfId="0" applyFont="1" applyFill="1" applyBorder="1" applyAlignment="1">
      <alignment horizontal="left" vertical="center" wrapText="1"/>
    </xf>
    <xf numFmtId="164" fontId="24" fillId="0" borderId="52" xfId="0" applyFont="1" applyFill="1" applyBorder="1" applyAlignment="1">
      <alignment horizontal="left" vertical="center" wrapText="1"/>
    </xf>
    <xf numFmtId="164" fontId="0" fillId="0" borderId="53" xfId="0" applyNumberFormat="1" applyFont="1" applyFill="1" applyBorder="1" applyAlignment="1">
      <alignment horizontal="left" vertical="center" wrapText="1"/>
    </xf>
    <xf numFmtId="164" fontId="0" fillId="0" borderId="54" xfId="0" applyFont="1" applyFill="1" applyBorder="1" applyAlignment="1">
      <alignment horizontal="left" vertical="center" wrapText="1"/>
    </xf>
    <xf numFmtId="164" fontId="0" fillId="0" borderId="54" xfId="0" applyFont="1" applyFill="1" applyBorder="1" applyAlignment="1">
      <alignment horizontal="right" vertical="center" wrapText="1"/>
    </xf>
    <xf numFmtId="168" fontId="0" fillId="0" borderId="55" xfId="0" applyNumberFormat="1" applyFont="1" applyFill="1" applyBorder="1" applyAlignment="1">
      <alignment horizontal="left" vertical="center" wrapText="1"/>
    </xf>
    <xf numFmtId="168" fontId="0" fillId="0" borderId="56" xfId="0" applyNumberFormat="1" applyFont="1" applyFill="1" applyBorder="1" applyAlignment="1">
      <alignment horizontal="left" vertical="center" wrapText="1"/>
    </xf>
    <xf numFmtId="164" fontId="15" fillId="0" borderId="57" xfId="0" applyFont="1" applyFill="1" applyBorder="1" applyAlignment="1">
      <alignment horizontal="left" vertical="center" wrapText="1"/>
    </xf>
    <xf numFmtId="164" fontId="15" fillId="0" borderId="54" xfId="0" applyNumberFormat="1" applyFont="1" applyFill="1" applyBorder="1" applyAlignment="1">
      <alignment horizontal="left" vertical="center" wrapText="1"/>
    </xf>
    <xf numFmtId="164" fontId="16" fillId="10" borderId="58" xfId="0" applyNumberFormat="1" applyFont="1" applyFill="1" applyBorder="1" applyAlignment="1">
      <alignment horizontal="left" vertical="center" wrapText="1"/>
    </xf>
    <xf numFmtId="164" fontId="16" fillId="0" borderId="54" xfId="0" applyFont="1" applyFill="1" applyBorder="1" applyAlignment="1">
      <alignment horizontal="left" vertical="center" wrapText="1"/>
    </xf>
    <xf numFmtId="164" fontId="16" fillId="0" borderId="53" xfId="0" applyFont="1" applyFill="1" applyBorder="1" applyAlignment="1">
      <alignment horizontal="left" vertical="center" wrapText="1"/>
    </xf>
    <xf numFmtId="164" fontId="0" fillId="0" borderId="57" xfId="0" applyFont="1" applyFill="1" applyBorder="1" applyAlignment="1">
      <alignment horizontal="left" vertical="center" wrapText="1"/>
    </xf>
    <xf numFmtId="164" fontId="0" fillId="0" borderId="59" xfId="0" applyFont="1" applyFill="1" applyBorder="1" applyAlignment="1">
      <alignment horizontal="left" vertical="center" wrapText="1"/>
    </xf>
    <xf numFmtId="164" fontId="0" fillId="0" borderId="59" xfId="0" applyFont="1" applyFill="1" applyBorder="1" applyAlignment="1">
      <alignment horizontal="center" vertical="center" wrapText="1"/>
    </xf>
    <xf numFmtId="164" fontId="15" fillId="0" borderId="59" xfId="0" applyNumberFormat="1" applyFont="1" applyFill="1" applyBorder="1" applyAlignment="1">
      <alignment horizontal="left" vertical="center" wrapText="1"/>
    </xf>
    <xf numFmtId="164" fontId="0" fillId="0" borderId="37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0" fillId="17" borderId="0" xfId="0" applyFill="1" applyAlignment="1">
      <alignment horizontal="center"/>
    </xf>
    <xf numFmtId="164" fontId="0" fillId="17" borderId="0" xfId="0" applyFill="1" applyAlignment="1">
      <alignment/>
    </xf>
    <xf numFmtId="164" fontId="20" fillId="17" borderId="0" xfId="0" applyFont="1" applyFill="1" applyAlignment="1">
      <alignment horizontal="center"/>
    </xf>
    <xf numFmtId="164" fontId="20" fillId="17" borderId="0" xfId="0" applyFont="1" applyFill="1" applyAlignment="1">
      <alignment/>
    </xf>
    <xf numFmtId="164" fontId="29" fillId="17" borderId="0" xfId="20" applyNumberFormat="1" applyFont="1" applyFill="1" applyBorder="1" applyAlignment="1" applyProtection="1">
      <alignment horizontal="center"/>
      <protection/>
    </xf>
  </cellXfs>
  <cellStyles count="2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1 10" xfId="22"/>
    <cellStyle name="Accent 1 11" xfId="23"/>
    <cellStyle name="Accent 1 12" xfId="24"/>
    <cellStyle name="Accent 1 13" xfId="25"/>
    <cellStyle name="Accent 1 14" xfId="26"/>
    <cellStyle name="Accent 1 2" xfId="27"/>
    <cellStyle name="Accent 1 3" xfId="28"/>
    <cellStyle name="Accent 1 4" xfId="29"/>
    <cellStyle name="Accent 1 5" xfId="30"/>
    <cellStyle name="Accent 1 6" xfId="31"/>
    <cellStyle name="Accent 1 7" xfId="32"/>
    <cellStyle name="Accent 1 8" xfId="33"/>
    <cellStyle name="Accent 1 9" xfId="34"/>
    <cellStyle name="Accent 10" xfId="35"/>
    <cellStyle name="Accent 11" xfId="36"/>
    <cellStyle name="Accent 12" xfId="37"/>
    <cellStyle name="Accent 13" xfId="38"/>
    <cellStyle name="Accent 14" xfId="39"/>
    <cellStyle name="Accent 15" xfId="40"/>
    <cellStyle name="Accent 16" xfId="41"/>
    <cellStyle name="Accent 17" xfId="42"/>
    <cellStyle name="Accent 2 1" xfId="43"/>
    <cellStyle name="Accent 2 10" xfId="44"/>
    <cellStyle name="Accent 2 11" xfId="45"/>
    <cellStyle name="Accent 2 12" xfId="46"/>
    <cellStyle name="Accent 2 13" xfId="47"/>
    <cellStyle name="Accent 2 14" xfId="48"/>
    <cellStyle name="Accent 2 2" xfId="49"/>
    <cellStyle name="Accent 2 3" xfId="50"/>
    <cellStyle name="Accent 2 4" xfId="51"/>
    <cellStyle name="Accent 2 5" xfId="52"/>
    <cellStyle name="Accent 2 6" xfId="53"/>
    <cellStyle name="Accent 2 7" xfId="54"/>
    <cellStyle name="Accent 2 8" xfId="55"/>
    <cellStyle name="Accent 2 9" xfId="56"/>
    <cellStyle name="Accent 3 1" xfId="57"/>
    <cellStyle name="Accent 3 10" xfId="58"/>
    <cellStyle name="Accent 3 11" xfId="59"/>
    <cellStyle name="Accent 3 12" xfId="60"/>
    <cellStyle name="Accent 3 13" xfId="61"/>
    <cellStyle name="Accent 3 14" xfId="62"/>
    <cellStyle name="Accent 3 2" xfId="63"/>
    <cellStyle name="Accent 3 3" xfId="64"/>
    <cellStyle name="Accent 3 4" xfId="65"/>
    <cellStyle name="Accent 3 5" xfId="66"/>
    <cellStyle name="Accent 3 6" xfId="67"/>
    <cellStyle name="Accent 3 7" xfId="68"/>
    <cellStyle name="Accent 3 8" xfId="69"/>
    <cellStyle name="Accent 3 9" xfId="70"/>
    <cellStyle name="Accent 4" xfId="71"/>
    <cellStyle name="Accent 5" xfId="72"/>
    <cellStyle name="Accent 6" xfId="73"/>
    <cellStyle name="Accent 7" xfId="74"/>
    <cellStyle name="Accent 8" xfId="75"/>
    <cellStyle name="Accent 9" xfId="76"/>
    <cellStyle name="Bad 1" xfId="77"/>
    <cellStyle name="Bad 10" xfId="78"/>
    <cellStyle name="Bad 11" xfId="79"/>
    <cellStyle name="Bad 12" xfId="80"/>
    <cellStyle name="Bad 13" xfId="81"/>
    <cellStyle name="Bad 14" xfId="82"/>
    <cellStyle name="Bad 2" xfId="83"/>
    <cellStyle name="Bad 3" xfId="84"/>
    <cellStyle name="Bad 4" xfId="85"/>
    <cellStyle name="Bad 5" xfId="86"/>
    <cellStyle name="Bad 6" xfId="87"/>
    <cellStyle name="Bad 7" xfId="88"/>
    <cellStyle name="Bad 8" xfId="89"/>
    <cellStyle name="Bad 9" xfId="90"/>
    <cellStyle name="Error 1" xfId="91"/>
    <cellStyle name="Error 10" xfId="92"/>
    <cellStyle name="Error 11" xfId="93"/>
    <cellStyle name="Error 12" xfId="94"/>
    <cellStyle name="Error 13" xfId="95"/>
    <cellStyle name="Error 14" xfId="96"/>
    <cellStyle name="Error 2" xfId="97"/>
    <cellStyle name="Error 3" xfId="98"/>
    <cellStyle name="Error 4" xfId="99"/>
    <cellStyle name="Error 5" xfId="100"/>
    <cellStyle name="Error 6" xfId="101"/>
    <cellStyle name="Error 7" xfId="102"/>
    <cellStyle name="Error 8" xfId="103"/>
    <cellStyle name="Error 9" xfId="104"/>
    <cellStyle name="Footnote 1" xfId="105"/>
    <cellStyle name="Footnote 10" xfId="106"/>
    <cellStyle name="Footnote 11" xfId="107"/>
    <cellStyle name="Footnote 12" xfId="108"/>
    <cellStyle name="Footnote 13" xfId="109"/>
    <cellStyle name="Footnote 14" xfId="110"/>
    <cellStyle name="Footnote 2" xfId="111"/>
    <cellStyle name="Footnote 3" xfId="112"/>
    <cellStyle name="Footnote 4" xfId="113"/>
    <cellStyle name="Footnote 5" xfId="114"/>
    <cellStyle name="Footnote 6" xfId="115"/>
    <cellStyle name="Footnote 7" xfId="116"/>
    <cellStyle name="Footnote 8" xfId="117"/>
    <cellStyle name="Footnote 9" xfId="118"/>
    <cellStyle name="Good 1" xfId="119"/>
    <cellStyle name="Good 10" xfId="120"/>
    <cellStyle name="Good 11" xfId="121"/>
    <cellStyle name="Good 12" xfId="122"/>
    <cellStyle name="Good 13" xfId="123"/>
    <cellStyle name="Good 14" xfId="124"/>
    <cellStyle name="Good 2" xfId="125"/>
    <cellStyle name="Good 3" xfId="126"/>
    <cellStyle name="Good 4" xfId="127"/>
    <cellStyle name="Good 5" xfId="128"/>
    <cellStyle name="Good 6" xfId="129"/>
    <cellStyle name="Good 7" xfId="130"/>
    <cellStyle name="Good 8" xfId="131"/>
    <cellStyle name="Good 9" xfId="132"/>
    <cellStyle name="Heading 1 1" xfId="133"/>
    <cellStyle name="Heading 1 10" xfId="134"/>
    <cellStyle name="Heading 1 11" xfId="135"/>
    <cellStyle name="Heading 1 12" xfId="136"/>
    <cellStyle name="Heading 1 13" xfId="137"/>
    <cellStyle name="Heading 1 14" xfId="138"/>
    <cellStyle name="Heading 1 2" xfId="139"/>
    <cellStyle name="Heading 1 3" xfId="140"/>
    <cellStyle name="Heading 1 4" xfId="141"/>
    <cellStyle name="Heading 1 5" xfId="142"/>
    <cellStyle name="Heading 1 6" xfId="143"/>
    <cellStyle name="Heading 1 7" xfId="144"/>
    <cellStyle name="Heading 1 8" xfId="145"/>
    <cellStyle name="Heading 1 9" xfId="146"/>
    <cellStyle name="Heading 10" xfId="147"/>
    <cellStyle name="Heading 11" xfId="148"/>
    <cellStyle name="Heading 12" xfId="149"/>
    <cellStyle name="Heading 13" xfId="150"/>
    <cellStyle name="Heading 14" xfId="151"/>
    <cellStyle name="Heading 15" xfId="152"/>
    <cellStyle name="Heading 2 1" xfId="153"/>
    <cellStyle name="Heading 2 10" xfId="154"/>
    <cellStyle name="Heading 2 11" xfId="155"/>
    <cellStyle name="Heading 2 12" xfId="156"/>
    <cellStyle name="Heading 2 13" xfId="157"/>
    <cellStyle name="Heading 2 14" xfId="158"/>
    <cellStyle name="Heading 2 2" xfId="159"/>
    <cellStyle name="Heading 2 3" xfId="160"/>
    <cellStyle name="Heading 2 4" xfId="161"/>
    <cellStyle name="Heading 2 5" xfId="162"/>
    <cellStyle name="Heading 2 6" xfId="163"/>
    <cellStyle name="Heading 2 7" xfId="164"/>
    <cellStyle name="Heading 2 8" xfId="165"/>
    <cellStyle name="Heading 2 9" xfId="166"/>
    <cellStyle name="Heading 3" xfId="167"/>
    <cellStyle name="Heading 4" xfId="168"/>
    <cellStyle name="Heading 5" xfId="169"/>
    <cellStyle name="Heading 6" xfId="170"/>
    <cellStyle name="Heading 7" xfId="171"/>
    <cellStyle name="Heading 8" xfId="172"/>
    <cellStyle name="Heading 9" xfId="173"/>
    <cellStyle name="Hyperlink 1" xfId="174"/>
    <cellStyle name="Hyperlink 2" xfId="175"/>
    <cellStyle name="Hyperlink 3" xfId="176"/>
    <cellStyle name="Hyperlink 4" xfId="177"/>
    <cellStyle name="Hyperlink 5" xfId="178"/>
    <cellStyle name="Hyperlink 6" xfId="179"/>
    <cellStyle name="Hyperlink 7" xfId="180"/>
    <cellStyle name="Hyperlink 8" xfId="181"/>
    <cellStyle name="Neutral 1" xfId="182"/>
    <cellStyle name="Neutral 10" xfId="183"/>
    <cellStyle name="Neutral 11" xfId="184"/>
    <cellStyle name="Neutral 12" xfId="185"/>
    <cellStyle name="Neutral 13" xfId="186"/>
    <cellStyle name="Neutral 14" xfId="187"/>
    <cellStyle name="Neutral 2" xfId="188"/>
    <cellStyle name="Neutral 3" xfId="189"/>
    <cellStyle name="Neutral 4" xfId="190"/>
    <cellStyle name="Neutral 5" xfId="191"/>
    <cellStyle name="Neutral 6" xfId="192"/>
    <cellStyle name="Neutral 7" xfId="193"/>
    <cellStyle name="Neutral 8" xfId="194"/>
    <cellStyle name="Neutral 9" xfId="195"/>
    <cellStyle name="Note 1" xfId="196"/>
    <cellStyle name="Note 10" xfId="197"/>
    <cellStyle name="Note 11" xfId="198"/>
    <cellStyle name="Note 12" xfId="199"/>
    <cellStyle name="Note 13" xfId="200"/>
    <cellStyle name="Note 14" xfId="201"/>
    <cellStyle name="Note 2" xfId="202"/>
    <cellStyle name="Note 3" xfId="203"/>
    <cellStyle name="Note 4" xfId="204"/>
    <cellStyle name="Note 5" xfId="205"/>
    <cellStyle name="Note 6" xfId="206"/>
    <cellStyle name="Note 7" xfId="207"/>
    <cellStyle name="Note 8" xfId="208"/>
    <cellStyle name="Note 9" xfId="209"/>
    <cellStyle name="Status 1" xfId="210"/>
    <cellStyle name="Status 10" xfId="211"/>
    <cellStyle name="Status 11" xfId="212"/>
    <cellStyle name="Status 12" xfId="213"/>
    <cellStyle name="Status 13" xfId="214"/>
    <cellStyle name="Status 14" xfId="215"/>
    <cellStyle name="Status 2" xfId="216"/>
    <cellStyle name="Status 3" xfId="217"/>
    <cellStyle name="Status 4" xfId="218"/>
    <cellStyle name="Status 5" xfId="219"/>
    <cellStyle name="Status 6" xfId="220"/>
    <cellStyle name="Status 7" xfId="221"/>
    <cellStyle name="Status 8" xfId="222"/>
    <cellStyle name="Status 9" xfId="223"/>
    <cellStyle name="Text 1" xfId="224"/>
    <cellStyle name="Text 10" xfId="225"/>
    <cellStyle name="Text 11" xfId="226"/>
    <cellStyle name="Text 12" xfId="227"/>
    <cellStyle name="Text 13" xfId="228"/>
    <cellStyle name="Text 14" xfId="229"/>
    <cellStyle name="Text 2" xfId="230"/>
    <cellStyle name="Text 3" xfId="231"/>
    <cellStyle name="Text 4" xfId="232"/>
    <cellStyle name="Text 5" xfId="233"/>
    <cellStyle name="Text 6" xfId="234"/>
    <cellStyle name="Text 7" xfId="235"/>
    <cellStyle name="Text 8" xfId="236"/>
    <cellStyle name="Text 9" xfId="237"/>
    <cellStyle name="Warning 1" xfId="238"/>
    <cellStyle name="Warning 10" xfId="239"/>
    <cellStyle name="Warning 11" xfId="240"/>
    <cellStyle name="Warning 12" xfId="241"/>
    <cellStyle name="Warning 13" xfId="242"/>
    <cellStyle name="Warning 14" xfId="243"/>
    <cellStyle name="Warning 2" xfId="244"/>
    <cellStyle name="Warning 3" xfId="245"/>
    <cellStyle name="Warning 4" xfId="246"/>
    <cellStyle name="Warning 5" xfId="247"/>
    <cellStyle name="Warning 6" xfId="248"/>
    <cellStyle name="Warning 7" xfId="249"/>
    <cellStyle name="Warning 8" xfId="250"/>
    <cellStyle name="Warning 9" xfId="2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47FF47"/>
      <rgbColor rgb="000000FF"/>
      <rgbColor rgb="00FFFF38"/>
      <rgbColor rgb="00FF00FF"/>
      <rgbColor rgb="0000FFFF"/>
      <rgbColor rgb="004C19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6D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A6"/>
      <rgbColor rgb="0099CCFF"/>
      <rgbColor rgb="00FF99CC"/>
      <rgbColor rgb="00CC99FF"/>
      <rgbColor rgb="00FFCCCC"/>
      <rgbColor rgb="003366FF"/>
      <rgbColor rgb="0033CCCC"/>
      <rgbColor rgb="0099CC00"/>
      <rgbColor rgb="00FFDE59"/>
      <rgbColor rgb="00FF9900"/>
      <rgbColor rgb="00FF3366"/>
      <rgbColor rgb="00666699"/>
      <rgbColor rgb="00969696"/>
      <rgbColor rgb="00003366"/>
      <rgbColor rgb="00339966"/>
      <rgbColor rgb="00003300"/>
      <rgbColor rgb="001C1C1C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vicar.com/%00%00%00%00%00%00%00%00%00%00%00%00%00%00%00#Upcoming%00%00%00%00%00%00%00%00%00%00%00%00%00%00%00" TargetMode="External" /><Relationship Id="rId2" Type="http://schemas.openxmlformats.org/officeDocument/2006/relationships/hyperlink" Target="http://www.levicar.com/PROACCTIVE.php%00%00%00%00%00%00%00%00%00%00%00%00%00%00%00#Group-U%00%00%00%00%00%00%00%00%00%00%00%00%00%00%00" TargetMode="External" /><Relationship Id="rId3" Type="http://schemas.openxmlformats.org/officeDocument/2006/relationships/hyperlink" Target="http://www.LeviCar.com/LULU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95" zoomScaleNormal="95" workbookViewId="0" topLeftCell="A1">
      <selection activeCell="A4" sqref="A4"/>
    </sheetView>
  </sheetViews>
  <sheetFormatPr defaultColWidth="11.421875" defaultRowHeight="15.75" customHeight="1"/>
  <cols>
    <col min="1" max="1" width="20.421875" style="1" customWidth="1"/>
    <col min="2" max="2" width="2.421875" style="2" customWidth="1"/>
    <col min="3" max="3" width="11.421875" style="3" customWidth="1"/>
    <col min="4" max="4" width="11.421875" style="1" customWidth="1"/>
    <col min="5" max="5" width="10.421875" style="1" customWidth="1"/>
    <col min="6" max="6" width="15.421875" style="1" customWidth="1"/>
    <col min="7" max="58" width="10.421875" style="1" customWidth="1"/>
  </cols>
  <sheetData>
    <row r="1" spans="1:6" ht="12.75" customHeight="1">
      <c r="A1" s="4" t="s">
        <v>0</v>
      </c>
      <c r="B1" s="5"/>
      <c r="C1" s="4"/>
      <c r="D1" s="6"/>
      <c r="E1" s="6"/>
      <c r="F1" s="7"/>
    </row>
    <row r="2" spans="1:6" ht="15.75" customHeight="1">
      <c r="A2" s="8">
        <f>"2019/12/22"</f>
        <v>0</v>
      </c>
      <c r="B2" s="5"/>
      <c r="C2" s="9" t="s">
        <v>1</v>
      </c>
      <c r="D2" s="10">
        <f>"238, 238, 238"</f>
        <v>0</v>
      </c>
      <c r="E2" s="4">
        <f>"EEEEEE"</f>
        <v>0</v>
      </c>
      <c r="F2" s="11" t="s">
        <v>2</v>
      </c>
    </row>
    <row r="3" spans="1:6" ht="15.75" customHeight="1">
      <c r="A3" s="12">
        <f>"18:24"</f>
        <v>0</v>
      </c>
      <c r="B3" s="5"/>
      <c r="C3" s="13" t="s">
        <v>3</v>
      </c>
      <c r="D3" s="10">
        <f>"204, 204, 204"</f>
        <v>0</v>
      </c>
      <c r="E3" s="4">
        <f>"CCCCCC"</f>
        <v>0</v>
      </c>
      <c r="F3" s="14" t="s">
        <v>4</v>
      </c>
    </row>
    <row r="4" spans="1:6" ht="15.75" customHeight="1">
      <c r="A4" s="15"/>
      <c r="B4" s="5"/>
      <c r="C4" s="16" t="s">
        <v>5</v>
      </c>
      <c r="D4" s="10">
        <f>"255, 255, 166"</f>
        <v>0</v>
      </c>
      <c r="E4" s="4">
        <f>"FFFFA6"</f>
        <v>0</v>
      </c>
      <c r="F4" s="17" t="s">
        <v>6</v>
      </c>
    </row>
    <row r="5" spans="1:6" ht="15.75" customHeight="1">
      <c r="A5" s="4" t="s">
        <v>7</v>
      </c>
      <c r="B5" s="5"/>
      <c r="C5" s="18" t="s">
        <v>8</v>
      </c>
      <c r="D5" s="10">
        <f>"255, 255, 109"</f>
        <v>0</v>
      </c>
      <c r="E5" s="4">
        <f>"FFFF6D"</f>
        <v>0</v>
      </c>
      <c r="F5" s="19" t="s">
        <v>9</v>
      </c>
    </row>
    <row r="6" spans="1:6" ht="15.75" customHeight="1">
      <c r="A6" s="4" t="s">
        <v>10</v>
      </c>
      <c r="B6" s="5"/>
      <c r="C6" s="20" t="s">
        <v>11</v>
      </c>
      <c r="D6" s="10" t="s">
        <v>12</v>
      </c>
      <c r="E6" s="4" t="s">
        <v>13</v>
      </c>
      <c r="F6" s="21" t="s">
        <v>14</v>
      </c>
    </row>
    <row r="7" spans="1:6" ht="15.75" customHeight="1">
      <c r="A7" s="6"/>
      <c r="B7" s="5"/>
      <c r="C7" s="22" t="s">
        <v>15</v>
      </c>
      <c r="D7" s="10" t="s">
        <v>16</v>
      </c>
      <c r="E7" s="4" t="s">
        <v>17</v>
      </c>
      <c r="F7" s="23" t="s">
        <v>18</v>
      </c>
    </row>
    <row r="8" spans="1:6" ht="15.75" customHeight="1">
      <c r="A8" s="24"/>
      <c r="B8" s="5"/>
      <c r="C8" s="25" t="s">
        <v>19</v>
      </c>
      <c r="D8" s="10">
        <f>"255, 51, 102"</f>
        <v>0</v>
      </c>
      <c r="E8" s="4">
        <f>"FF3366"</f>
        <v>0</v>
      </c>
      <c r="F8" s="7" t="s">
        <v>20</v>
      </c>
    </row>
    <row r="9" spans="1:6" ht="15.75" customHeight="1">
      <c r="A9"/>
      <c r="B9" s="5"/>
      <c r="C9" s="26" t="s">
        <v>21</v>
      </c>
      <c r="D9" s="10" t="s">
        <v>22</v>
      </c>
      <c r="E9" s="4" t="s">
        <v>23</v>
      </c>
      <c r="F9" s="7" t="s">
        <v>20</v>
      </c>
    </row>
    <row r="10" spans="1:2" ht="15.75" customHeight="1">
      <c r="A10"/>
      <c r="B10" s="5"/>
    </row>
    <row r="11" spans="1:3" ht="15.75" customHeight="1">
      <c r="A11"/>
      <c r="C11" s="1"/>
    </row>
    <row r="12" spans="1:3" ht="15.75" customHeight="1">
      <c r="A12"/>
      <c r="B12" s="27"/>
      <c r="C12" s="2"/>
    </row>
    <row r="13" spans="1:3" ht="15.75" customHeight="1">
      <c r="A13"/>
      <c r="C13" s="1"/>
    </row>
    <row r="14" spans="1:3" ht="15.75" customHeight="1">
      <c r="A14"/>
      <c r="C14" s="1"/>
    </row>
    <row r="15" spans="1:3" ht="15.75" customHeight="1">
      <c r="A15"/>
      <c r="C15" s="1"/>
    </row>
    <row r="16" spans="1:3" ht="15.75" customHeight="1">
      <c r="A16"/>
      <c r="B16" s="27"/>
      <c r="C16" s="3" t="s">
        <v>24</v>
      </c>
    </row>
    <row r="17" ht="15.75" customHeight="1">
      <c r="A17"/>
    </row>
    <row r="18" ht="15.75" customHeight="1">
      <c r="A18"/>
    </row>
    <row r="19" ht="15.75" customHeight="1">
      <c r="A19"/>
    </row>
    <row r="20" ht="15.75" customHeight="1">
      <c r="A20"/>
    </row>
    <row r="21" ht="15.75" customHeight="1">
      <c r="A21"/>
    </row>
    <row r="22" ht="15.75" customHeight="1">
      <c r="A22"/>
    </row>
    <row r="23" ht="15.75" customHeight="1">
      <c r="A23"/>
    </row>
    <row r="24" ht="15.75" customHeight="1">
      <c r="A24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74"/>
  <sheetViews>
    <sheetView tabSelected="1" zoomScale="95" zoomScaleNormal="9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8.00390625" defaultRowHeight="15.75" customHeight="1"/>
  <cols>
    <col min="1" max="1" width="23.421875" style="28" customWidth="1"/>
    <col min="2" max="2" width="11.421875" style="29" customWidth="1"/>
    <col min="3" max="3" width="21.421875" style="30" customWidth="1"/>
    <col min="4" max="4" width="11.421875" style="31" customWidth="1"/>
    <col min="5" max="5" width="10.421875" style="32" customWidth="1"/>
    <col min="6" max="6" width="12.421875" style="31" customWidth="1"/>
    <col min="7" max="7" width="34.421875" style="33" customWidth="1"/>
    <col min="8" max="8" width="33.421875" style="34" customWidth="1"/>
    <col min="9" max="9" width="12.421875" style="35" customWidth="1"/>
    <col min="10" max="10" width="14.421875" style="36" customWidth="1"/>
    <col min="11" max="11" width="23.421875" style="37" customWidth="1"/>
    <col min="12" max="12" width="37.421875" style="38" customWidth="1"/>
    <col min="13" max="13" width="21.421875" style="39" customWidth="1"/>
    <col min="14" max="14" width="19.57421875" style="40" customWidth="1"/>
    <col min="15" max="15" width="13.421875" style="41" customWidth="1"/>
    <col min="16" max="16" width="15.421875" style="42" customWidth="1"/>
    <col min="17" max="17" width="6.421875" style="43" customWidth="1"/>
    <col min="18" max="18" width="10.57421875" style="44" customWidth="1"/>
    <col min="19" max="19" width="8.00390625" style="45" customWidth="1"/>
  </cols>
  <sheetData>
    <row r="1" spans="1:18" ht="12.75" customHeight="1">
      <c r="A1" s="46" t="s">
        <v>25</v>
      </c>
      <c r="B1" s="47"/>
      <c r="C1" s="48"/>
      <c r="D1" s="24"/>
      <c r="E1" s="49" t="s">
        <v>26</v>
      </c>
      <c r="F1" s="49"/>
      <c r="G1" s="49"/>
      <c r="H1" s="50"/>
      <c r="I1" s="51" t="s">
        <v>27</v>
      </c>
      <c r="J1" s="51"/>
      <c r="K1" s="51"/>
      <c r="L1" s="52" t="s">
        <v>28</v>
      </c>
      <c r="M1" s="52"/>
      <c r="N1" s="53" t="s">
        <v>29</v>
      </c>
      <c r="O1" s="54" t="s">
        <v>30</v>
      </c>
      <c r="P1" s="54"/>
      <c r="Q1" s="54"/>
      <c r="R1" s="55" t="s">
        <v>31</v>
      </c>
    </row>
    <row r="2" spans="1:18" ht="12.75" customHeight="1">
      <c r="A2" s="56" t="s">
        <v>32</v>
      </c>
      <c r="B2" s="56" t="s">
        <v>33</v>
      </c>
      <c r="C2" s="56" t="s">
        <v>34</v>
      </c>
      <c r="D2" s="57" t="s">
        <v>35</v>
      </c>
      <c r="E2" s="58" t="s">
        <v>36</v>
      </c>
      <c r="F2" s="57" t="s">
        <v>37</v>
      </c>
      <c r="G2" s="59" t="s">
        <v>38</v>
      </c>
      <c r="H2" s="60" t="s">
        <v>39</v>
      </c>
      <c r="I2" s="61" t="s">
        <v>32</v>
      </c>
      <c r="J2" s="62" t="s">
        <v>40</v>
      </c>
      <c r="K2" s="63" t="s">
        <v>41</v>
      </c>
      <c r="L2" s="64" t="s">
        <v>42</v>
      </c>
      <c r="M2" s="65" t="s">
        <v>43</v>
      </c>
      <c r="N2" s="53"/>
      <c r="O2" s="66" t="s">
        <v>44</v>
      </c>
      <c r="P2" s="67" t="s">
        <v>45</v>
      </c>
      <c r="Q2" s="68" t="s">
        <v>46</v>
      </c>
      <c r="R2" s="55"/>
    </row>
    <row r="3" spans="1:64" s="91" customFormat="1" ht="36" customHeight="1">
      <c r="A3" s="69" t="s">
        <v>47</v>
      </c>
      <c r="B3" s="70" t="s">
        <v>48</v>
      </c>
      <c r="C3" s="71">
        <f>"https://www.sae.org/attend/connect2car-ces"</f>
        <v>0</v>
      </c>
      <c r="D3" s="72" t="s">
        <v>49</v>
      </c>
      <c r="E3" s="73" t="s">
        <v>50</v>
      </c>
      <c r="F3" s="72" t="s">
        <v>51</v>
      </c>
      <c r="G3" s="74" t="s">
        <v>52</v>
      </c>
      <c r="H3" s="75"/>
      <c r="I3" s="76"/>
      <c r="J3" s="77"/>
      <c r="K3" s="78"/>
      <c r="L3" s="79"/>
      <c r="M3" s="80"/>
      <c r="N3" s="81"/>
      <c r="O3" s="82" t="s">
        <v>53</v>
      </c>
      <c r="P3" s="72">
        <f>"https://www.sae.org/attend/"</f>
        <v>0</v>
      </c>
      <c r="Q3" s="83" t="s">
        <v>54</v>
      </c>
      <c r="R3" s="84" t="s">
        <v>55</v>
      </c>
      <c r="S3" s="82"/>
      <c r="T3" s="85"/>
      <c r="U3" s="86"/>
      <c r="V3" s="87"/>
      <c r="W3" s="87"/>
      <c r="X3" s="87"/>
      <c r="Y3" s="87"/>
      <c r="Z3" s="87"/>
      <c r="AA3" s="87"/>
      <c r="AB3" s="87"/>
      <c r="AC3" s="87"/>
      <c r="AD3" s="87"/>
      <c r="AE3" s="85"/>
      <c r="AF3" s="85"/>
      <c r="AG3" s="85"/>
      <c r="AH3" s="70"/>
      <c r="AI3" s="88"/>
      <c r="AJ3" s="70"/>
      <c r="AK3" s="85"/>
      <c r="AL3" s="86"/>
      <c r="AM3" s="86"/>
      <c r="AN3" s="86"/>
      <c r="AO3" s="89"/>
      <c r="AP3" s="89"/>
      <c r="AQ3" s="89"/>
      <c r="AR3" s="85"/>
      <c r="AS3" s="85"/>
      <c r="AT3" s="85"/>
      <c r="AU3" s="90"/>
      <c r="AV3" s="85"/>
      <c r="AW3" s="85"/>
      <c r="AX3" s="85"/>
      <c r="AY3" s="70"/>
      <c r="AZ3" s="88"/>
      <c r="BA3" s="70"/>
      <c r="BB3" s="85"/>
      <c r="BC3" s="86"/>
      <c r="BD3" s="86"/>
      <c r="BE3" s="86"/>
      <c r="BF3" s="89"/>
      <c r="BG3" s="89"/>
      <c r="BH3" s="89"/>
      <c r="BI3" s="85"/>
      <c r="BJ3" s="85"/>
      <c r="BK3" s="85"/>
      <c r="BL3" s="90"/>
    </row>
    <row r="4" spans="1:64" s="91" customFormat="1" ht="63.75" customHeight="1">
      <c r="A4" s="92" t="s">
        <v>56</v>
      </c>
      <c r="B4" s="93" t="s">
        <v>57</v>
      </c>
      <c r="C4" s="94" t="s">
        <v>58</v>
      </c>
      <c r="D4" s="95" t="s">
        <v>59</v>
      </c>
      <c r="E4" s="95" t="s">
        <v>60</v>
      </c>
      <c r="F4" s="95" t="s">
        <v>61</v>
      </c>
      <c r="G4" s="96" t="s">
        <v>62</v>
      </c>
      <c r="H4" s="97"/>
      <c r="I4" s="98"/>
      <c r="J4" s="99"/>
      <c r="K4" s="100">
        <f>"Series link:  http://transportationcamp.org/"</f>
        <v>0</v>
      </c>
      <c r="L4" s="101">
        <f>"essential guide"</f>
        <v>0</v>
      </c>
      <c r="M4" s="102">
        <f>"http://transportationcamp.org/2011/02/how-transportationcamp-works-the-essential-guide/"</f>
        <v>0</v>
      </c>
      <c r="N4" s="103"/>
      <c r="O4" s="104"/>
      <c r="P4" s="95"/>
      <c r="Q4" s="105" t="s">
        <v>54</v>
      </c>
      <c r="R4" s="106" t="s">
        <v>63</v>
      </c>
      <c r="S4" s="107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64" s="91" customFormat="1" ht="44.25" customHeight="1">
      <c r="A5" s="92" t="s">
        <v>64</v>
      </c>
      <c r="B5" s="93" t="s">
        <v>65</v>
      </c>
      <c r="C5" s="94">
        <f>"http://www.trb.org/Calendar/Blurbs/173731.aspx"</f>
        <v>0</v>
      </c>
      <c r="D5" s="95" t="s">
        <v>66</v>
      </c>
      <c r="E5" s="109" t="s">
        <v>67</v>
      </c>
      <c r="F5" s="95" t="s">
        <v>68</v>
      </c>
      <c r="G5" s="110" t="s">
        <v>69</v>
      </c>
      <c r="H5" s="111"/>
      <c r="I5" s="98"/>
      <c r="J5" s="112"/>
      <c r="K5" s="100">
        <f>"http://www.trb.org/AnnualMeeting/ContactUs1.aspx"</f>
        <v>0</v>
      </c>
      <c r="L5" s="113">
        <f>"http://www.trb.org/AnnualMeeting/AMcallforpapers.aspx"</f>
        <v>0</v>
      </c>
      <c r="M5" s="114">
        <f>"TRB login:  https://www.mytrb.org/?PressAmpTarget=/CallForPapers/MyCallsForPapers"</f>
        <v>0</v>
      </c>
      <c r="N5" s="103" t="s">
        <v>70</v>
      </c>
      <c r="O5" s="104" t="s">
        <v>71</v>
      </c>
      <c r="P5" s="95">
        <f>"http://www.trb.org/Calendar/Calendar.aspx"</f>
        <v>0</v>
      </c>
      <c r="Q5" s="105" t="s">
        <v>72</v>
      </c>
      <c r="R5" s="115" t="s">
        <v>73</v>
      </c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s="91" customFormat="1" ht="38.25" customHeight="1">
      <c r="A6" s="92"/>
      <c r="B6" s="93"/>
      <c r="C6" s="94">
        <f>"http://www.trb.org/AnnualMeeting/AnnualMeeting.aspx"</f>
        <v>0</v>
      </c>
      <c r="D6" s="95"/>
      <c r="E6" s="109"/>
      <c r="F6" s="95"/>
      <c r="G6" s="110"/>
      <c r="H6" s="111"/>
      <c r="I6" s="98"/>
      <c r="J6" s="112"/>
      <c r="K6" s="100"/>
      <c r="L6" s="113">
        <f>"Exhibitor's Information:  https://events.jspargo.com/trb19/public/enter.aspx"</f>
        <v>0</v>
      </c>
      <c r="M6" s="114"/>
      <c r="N6" s="116"/>
      <c r="O6" s="104"/>
      <c r="P6" s="95"/>
      <c r="Q6" s="105"/>
      <c r="R6" s="115"/>
      <c r="S6" s="11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91" customFormat="1" ht="36" customHeight="1">
      <c r="A7" s="95" t="s">
        <v>74</v>
      </c>
      <c r="B7" s="95" t="s">
        <v>75</v>
      </c>
      <c r="C7" s="95">
        <f>"https://www.sae.org/learn/content/c1868/"</f>
        <v>0</v>
      </c>
      <c r="D7" s="95" t="s">
        <v>76</v>
      </c>
      <c r="E7" s="109" t="s">
        <v>77</v>
      </c>
      <c r="F7" s="95" t="s">
        <v>78</v>
      </c>
      <c r="G7" s="118" t="s">
        <v>79</v>
      </c>
      <c r="H7" s="111"/>
      <c r="I7" s="119"/>
      <c r="J7" s="112"/>
      <c r="K7" s="120"/>
      <c r="L7" s="121" t="s">
        <v>80</v>
      </c>
      <c r="M7" s="122" t="s">
        <v>81</v>
      </c>
      <c r="N7" s="116" t="s">
        <v>82</v>
      </c>
      <c r="O7" s="104" t="s">
        <v>83</v>
      </c>
      <c r="P7" s="95">
        <f>"https://www.sae.org/learn/professional-development"</f>
        <v>0</v>
      </c>
      <c r="Q7" s="105" t="s">
        <v>72</v>
      </c>
      <c r="R7" s="115" t="s">
        <v>73</v>
      </c>
      <c r="S7" s="1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91" customFormat="1" ht="26.25" customHeight="1">
      <c r="A8" s="95"/>
      <c r="B8" s="95"/>
      <c r="C8" s="95"/>
      <c r="D8" s="95"/>
      <c r="E8" s="109"/>
      <c r="F8" s="95"/>
      <c r="G8" s="118"/>
      <c r="H8" s="111"/>
      <c r="I8" s="119"/>
      <c r="J8" s="112"/>
      <c r="K8" s="120"/>
      <c r="L8" s="121"/>
      <c r="M8" s="122"/>
      <c r="N8" s="123" t="s">
        <v>84</v>
      </c>
      <c r="O8" s="104"/>
      <c r="P8" s="104"/>
      <c r="Q8" s="104"/>
      <c r="R8" s="115"/>
      <c r="S8" s="11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4" s="91" customFormat="1" ht="52.5" customHeight="1">
      <c r="A9" s="124" t="s">
        <v>85</v>
      </c>
      <c r="B9" s="125" t="s">
        <v>86</v>
      </c>
      <c r="C9" s="126">
        <f>"http://www.logtel-events.com/icav/index.html"</f>
        <v>0</v>
      </c>
      <c r="D9" s="127" t="s">
        <v>87</v>
      </c>
      <c r="E9" s="128" t="s">
        <v>88</v>
      </c>
      <c r="F9" s="127" t="s">
        <v>89</v>
      </c>
      <c r="G9" s="129" t="s">
        <v>90</v>
      </c>
      <c r="H9" s="130"/>
      <c r="I9" s="131"/>
      <c r="J9" s="132"/>
      <c r="K9" s="133">
        <f>"Contact info. and map:  http://www.logtel-events.com/icav/Contact.html"</f>
        <v>0</v>
      </c>
      <c r="L9" s="134"/>
      <c r="M9" s="135"/>
      <c r="N9" s="136"/>
      <c r="O9" s="137" t="s">
        <v>53</v>
      </c>
      <c r="P9" s="127" t="s">
        <v>91</v>
      </c>
      <c r="Q9" s="138" t="s">
        <v>72</v>
      </c>
      <c r="R9" s="139" t="s">
        <v>73</v>
      </c>
      <c r="S9" s="82"/>
      <c r="T9" s="85"/>
      <c r="U9" s="86"/>
      <c r="V9" s="87"/>
      <c r="W9" s="87"/>
      <c r="X9" s="87"/>
      <c r="Y9" s="87"/>
      <c r="Z9" s="87"/>
      <c r="AA9" s="87"/>
      <c r="AB9" s="87"/>
      <c r="AC9" s="87"/>
      <c r="AD9" s="87"/>
      <c r="AE9" s="85"/>
      <c r="AF9" s="85"/>
      <c r="AG9" s="85"/>
      <c r="AH9" s="70"/>
      <c r="AI9" s="88"/>
      <c r="AJ9" s="70"/>
      <c r="AK9" s="85"/>
      <c r="AL9" s="86"/>
      <c r="AM9" s="86"/>
      <c r="AN9" s="86"/>
      <c r="AO9" s="89"/>
      <c r="AP9" s="89"/>
      <c r="AQ9" s="89"/>
      <c r="AR9" s="85"/>
      <c r="AS9" s="85"/>
      <c r="AT9" s="85"/>
      <c r="AU9" s="90"/>
      <c r="AV9" s="85"/>
      <c r="AW9" s="85"/>
      <c r="AX9" s="85"/>
      <c r="AY9" s="70"/>
      <c r="AZ9" s="88"/>
      <c r="BA9" s="70"/>
      <c r="BB9" s="85"/>
      <c r="BC9" s="86"/>
      <c r="BD9" s="86"/>
      <c r="BE9" s="86"/>
      <c r="BF9" s="89"/>
      <c r="BG9" s="89"/>
      <c r="BH9" s="89"/>
      <c r="BI9" s="85"/>
      <c r="BJ9" s="85"/>
      <c r="BK9" s="85"/>
      <c r="BL9" s="90"/>
    </row>
    <row r="10" spans="1:64" s="91" customFormat="1" ht="28.5" customHeight="1">
      <c r="A10" s="95" t="s">
        <v>92</v>
      </c>
      <c r="B10" s="95" t="s">
        <v>93</v>
      </c>
      <c r="C10" s="95">
        <f>"https://attendee.gototraining.com/r/250546109432103681"</f>
        <v>0</v>
      </c>
      <c r="D10" s="95"/>
      <c r="E10" s="109" t="s">
        <v>94</v>
      </c>
      <c r="F10" s="95" t="s">
        <v>95</v>
      </c>
      <c r="G10" s="118" t="s">
        <v>96</v>
      </c>
      <c r="H10" s="140" t="s">
        <v>97</v>
      </c>
      <c r="I10" s="119"/>
      <c r="J10" s="112">
        <f>"1-877-PLUGVOLT (1-877-758-4865)"</f>
        <v>0</v>
      </c>
      <c r="K10" s="120">
        <f>"mailto:info@plugvolt.com"</f>
        <v>0</v>
      </c>
      <c r="L10" s="121" t="s">
        <v>98</v>
      </c>
      <c r="M10" s="122"/>
      <c r="N10" s="122"/>
      <c r="O10" s="104" t="s">
        <v>99</v>
      </c>
      <c r="P10" s="141">
        <f>"http://plugvolt.com/"</f>
        <v>0</v>
      </c>
      <c r="Q10" s="142" t="s">
        <v>72</v>
      </c>
      <c r="R10" s="143" t="s">
        <v>73</v>
      </c>
      <c r="S10" s="11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91" customFormat="1" ht="38.25" customHeight="1">
      <c r="A11" s="95"/>
      <c r="B11" s="95"/>
      <c r="C11" s="95"/>
      <c r="D11" s="95"/>
      <c r="E11" s="95"/>
      <c r="F11" s="95"/>
      <c r="G11" s="118"/>
      <c r="H11" s="140"/>
      <c r="I11" s="119"/>
      <c r="J11" s="112"/>
      <c r="K11" s="120"/>
      <c r="L11" s="121" t="s">
        <v>100</v>
      </c>
      <c r="M11" s="122">
        <f>"http://plugvolt.com/pre-recorded-webinars/"</f>
        <v>0</v>
      </c>
      <c r="N11" s="122"/>
      <c r="O11" s="104"/>
      <c r="P11" s="141">
        <f>"http://plugvolt.com/webinars/"</f>
        <v>0</v>
      </c>
      <c r="Q11" s="142"/>
      <c r="R11" s="143"/>
      <c r="S11" s="11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s="91" customFormat="1" ht="63" customHeight="1">
      <c r="A12" s="92" t="s">
        <v>101</v>
      </c>
      <c r="B12" s="93"/>
      <c r="C12" s="94">
        <f>"https://driveelectricweek.org/webinar.php"</f>
        <v>0</v>
      </c>
      <c r="D12" s="95"/>
      <c r="E12" s="109" t="s">
        <v>102</v>
      </c>
      <c r="F12" s="95" t="s">
        <v>103</v>
      </c>
      <c r="G12" s="96" t="s">
        <v>104</v>
      </c>
      <c r="H12" s="97"/>
      <c r="I12" s="98"/>
      <c r="J12" s="112"/>
      <c r="K12" s="100"/>
      <c r="L12" s="121" t="s">
        <v>105</v>
      </c>
      <c r="M12" s="122">
        <f>"https://register.gotowebinar.com/register/8725029782620157185"</f>
        <v>0</v>
      </c>
      <c r="N12" s="103"/>
      <c r="O12" s="141" t="s">
        <v>106</v>
      </c>
      <c r="P12" s="95" t="s">
        <v>107</v>
      </c>
      <c r="Q12" s="105" t="s">
        <v>108</v>
      </c>
      <c r="R12" s="106" t="s">
        <v>109</v>
      </c>
      <c r="S12" s="11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91" customFormat="1" ht="42" customHeight="1">
      <c r="A13" s="92">
        <f>"Advanced Automotive &amp; Industrial Battery Conference &amp;ndash; europe"</f>
        <v>0</v>
      </c>
      <c r="B13" s="95" t="s">
        <v>110</v>
      </c>
      <c r="C13" s="95">
        <f>"https://www.advancedautobat.com/europe/"</f>
        <v>0</v>
      </c>
      <c r="D13" s="95" t="s">
        <v>111</v>
      </c>
      <c r="E13" s="109" t="s">
        <v>112</v>
      </c>
      <c r="F13" s="95">
        <f>"aabc-wh-E.png    237 x 115"</f>
        <v>0</v>
      </c>
      <c r="G13" s="144">
        <f>"&amp;hellip research and development of the chemistries and materials supporting the next generation of electric vehicle batteries &amp;hellip;"</f>
        <v>0</v>
      </c>
      <c r="H13" s="145"/>
      <c r="I13" s="98"/>
      <c r="J13" s="112">
        <f>"vox: (781) 972-5400"</f>
        <v>0</v>
      </c>
      <c r="K13" s="100">
        <f>"mailto:ce@cambridgeenertech.com"</f>
        <v>0</v>
      </c>
      <c r="L13" s="146"/>
      <c r="M13" s="147"/>
      <c r="N13" s="148" t="s">
        <v>113</v>
      </c>
      <c r="O13" s="149" t="s">
        <v>114</v>
      </c>
      <c r="P13" s="150">
        <f>"http://evworld.com/calendar.cfm"</f>
        <v>0</v>
      </c>
      <c r="Q13" s="142" t="s">
        <v>72</v>
      </c>
      <c r="R13" s="143" t="s">
        <v>73</v>
      </c>
      <c r="S13" s="11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s="91" customFormat="1" ht="38.25" customHeight="1">
      <c r="A14" s="92"/>
      <c r="B14" s="95"/>
      <c r="C14" s="95"/>
      <c r="D14" s="95"/>
      <c r="E14" s="95"/>
      <c r="F14" s="95"/>
      <c r="G14" s="144"/>
      <c r="H14" s="145"/>
      <c r="I14" s="98"/>
      <c r="J14" s="112">
        <f>"fax: (781) 972-5425"</f>
        <v>0</v>
      </c>
      <c r="K14" s="100"/>
      <c r="L14" s="121">
        <f>"Student Posters:  http://www.advancedautobat.com/europe/posters/"</f>
        <v>0</v>
      </c>
      <c r="M14" s="122"/>
      <c r="N14" s="103" t="s">
        <v>115</v>
      </c>
      <c r="O14" s="149" t="s">
        <v>116</v>
      </c>
      <c r="P14" s="150" t="s">
        <v>117</v>
      </c>
      <c r="Q14" s="142"/>
      <c r="R14" s="143"/>
      <c r="S14" s="11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s="91" customFormat="1" ht="62.25" customHeight="1">
      <c r="A15" s="92" t="s">
        <v>118</v>
      </c>
      <c r="B15" s="95" t="s">
        <v>119</v>
      </c>
      <c r="C15" s="95">
        <f>"https://register.gotowebinar.com/register/7509363546970764033"</f>
        <v>0</v>
      </c>
      <c r="D15" s="95"/>
      <c r="E15" s="109" t="s">
        <v>120</v>
      </c>
      <c r="F15" s="95" t="s">
        <v>121</v>
      </c>
      <c r="G15" s="151" t="s">
        <v>122</v>
      </c>
      <c r="H15" s="152" t="s">
        <v>123</v>
      </c>
      <c r="I15" s="98"/>
      <c r="J15" s="112"/>
      <c r="K15" s="100"/>
      <c r="L15" s="121"/>
      <c r="M15" s="122"/>
      <c r="N15" s="103"/>
      <c r="O15" s="149" t="s">
        <v>124</v>
      </c>
      <c r="P15" s="150">
        <f>"https://www.ieee-pels.org/products/pels-webinars"</f>
        <v>0</v>
      </c>
      <c r="Q15" s="142" t="s">
        <v>72</v>
      </c>
      <c r="R15" s="143" t="s">
        <v>73</v>
      </c>
      <c r="S15" s="11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s="91" customFormat="1" ht="33" customHeight="1">
      <c r="A16" s="92" t="s">
        <v>125</v>
      </c>
      <c r="B16" s="95" t="s">
        <v>126</v>
      </c>
      <c r="C16" s="95">
        <f>"https://event.webcasts.com/starthere.jsp?ei=1226193&amp;tp_key=3ec04abaa9"</f>
        <v>0</v>
      </c>
      <c r="D16" s="95"/>
      <c r="E16" s="109" t="s">
        <v>127</v>
      </c>
      <c r="F16" s="95" t="s">
        <v>128</v>
      </c>
      <c r="G16" s="151" t="s">
        <v>129</v>
      </c>
      <c r="H16" s="153" t="s">
        <v>130</v>
      </c>
      <c r="I16" s="98"/>
      <c r="J16" s="112"/>
      <c r="K16" s="154"/>
      <c r="L16" s="121"/>
      <c r="M16" s="122"/>
      <c r="N16" s="103"/>
      <c r="O16" s="149" t="s">
        <v>131</v>
      </c>
      <c r="P16" s="155" t="s">
        <v>132</v>
      </c>
      <c r="Q16" s="142" t="s">
        <v>72</v>
      </c>
      <c r="R16" s="156" t="s">
        <v>73</v>
      </c>
      <c r="S16" s="11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s="91" customFormat="1" ht="33" customHeight="1">
      <c r="A17" s="92"/>
      <c r="B17" s="95"/>
      <c r="C17" s="95"/>
      <c r="D17" s="95"/>
      <c r="E17" s="109"/>
      <c r="F17" s="95"/>
      <c r="G17" s="151"/>
      <c r="H17" s="153" t="s">
        <v>133</v>
      </c>
      <c r="I17" s="98"/>
      <c r="J17" s="112"/>
      <c r="K17" s="154"/>
      <c r="L17" s="121"/>
      <c r="M17" s="122"/>
      <c r="N17" s="103"/>
      <c r="O17" s="149"/>
      <c r="P17" s="155"/>
      <c r="Q17" s="142"/>
      <c r="R17" s="156"/>
      <c r="S17" s="11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41.25" customHeight="1">
      <c r="A18" s="92"/>
      <c r="B18" s="95"/>
      <c r="C18" s="95"/>
      <c r="D18" s="95"/>
      <c r="E18" s="109"/>
      <c r="F18" s="157" t="s">
        <v>134</v>
      </c>
      <c r="G18" s="151"/>
      <c r="H18" s="153" t="s">
        <v>135</v>
      </c>
      <c r="I18" s="98"/>
      <c r="J18" s="112"/>
      <c r="K18" s="154"/>
      <c r="L18" s="121"/>
      <c r="M18" s="122"/>
      <c r="N18" s="103"/>
      <c r="O18" s="149"/>
      <c r="P18" s="155"/>
      <c r="Q18" s="142"/>
      <c r="R18" s="156"/>
      <c r="S18" s="11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18.75" customHeight="1">
      <c r="A19" s="92"/>
      <c r="B19" s="95"/>
      <c r="C19" s="95"/>
      <c r="D19" s="95"/>
      <c r="E19" s="109"/>
      <c r="F19" s="157"/>
      <c r="G19" s="151"/>
      <c r="H19" s="158" t="s">
        <v>136</v>
      </c>
      <c r="I19" s="98"/>
      <c r="J19" s="112"/>
      <c r="K19" s="154"/>
      <c r="L19" s="121"/>
      <c r="M19" s="122"/>
      <c r="N19" s="103"/>
      <c r="O19" s="149"/>
      <c r="P19" s="155"/>
      <c r="Q19" s="142"/>
      <c r="R19" s="156"/>
      <c r="S19" s="11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s="91" customFormat="1" ht="63.75" customHeight="1">
      <c r="A20" s="92" t="s">
        <v>137</v>
      </c>
      <c r="B20" s="93" t="s">
        <v>138</v>
      </c>
      <c r="C20" s="94">
        <f>"https://www.sae.org/learn/content/c1732/"</f>
        <v>0</v>
      </c>
      <c r="D20" s="95" t="s">
        <v>139</v>
      </c>
      <c r="E20" s="109" t="s">
        <v>140</v>
      </c>
      <c r="F20" s="95" t="s">
        <v>141</v>
      </c>
      <c r="G20" s="96" t="s">
        <v>142</v>
      </c>
      <c r="H20" s="97"/>
      <c r="I20" s="98"/>
      <c r="J20" s="99"/>
      <c r="K20" s="100"/>
      <c r="L20" s="121" t="s">
        <v>143</v>
      </c>
      <c r="M20" s="123" t="s">
        <v>144</v>
      </c>
      <c r="N20" s="116">
        <f>"Instructor: Dr. Mark Quarto"</f>
        <v>0</v>
      </c>
      <c r="O20" s="141" t="s">
        <v>83</v>
      </c>
      <c r="P20" s="95">
        <f>"https://www.sae.org/learn/professional-development"</f>
        <v>0</v>
      </c>
      <c r="Q20" s="105" t="s">
        <v>72</v>
      </c>
      <c r="R20" s="115" t="s">
        <v>73</v>
      </c>
      <c r="S20" s="11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18" ht="38.25" customHeight="1">
      <c r="A21" s="159" t="s">
        <v>145</v>
      </c>
      <c r="B21" s="160" t="s">
        <v>146</v>
      </c>
      <c r="C21" s="161">
        <f>"http://www.sae.org/events/hybridev/"</f>
        <v>0</v>
      </c>
      <c r="D21" s="157" t="s">
        <v>147</v>
      </c>
      <c r="E21" s="162" t="s">
        <v>148</v>
      </c>
      <c r="F21" s="157" t="s">
        <v>149</v>
      </c>
      <c r="G21" s="163">
        <f>" &amp;hellip; current and forward-looking hybrid and electric vehicle technology &amp;hellip; "</f>
        <v>0</v>
      </c>
      <c r="H21" s="164"/>
      <c r="I21" s="165"/>
      <c r="J21" s="166"/>
      <c r="K21" s="167">
        <f>"http://www.sae.org/events/hybridev/contact/"</f>
        <v>0</v>
      </c>
      <c r="L21" s="168"/>
      <c r="M21" s="169"/>
      <c r="N21" s="170"/>
      <c r="O21" s="171" t="s">
        <v>53</v>
      </c>
      <c r="P21" s="172">
        <f>"https://www.sae.org/attend/"</f>
        <v>0</v>
      </c>
      <c r="Q21" s="173" t="s">
        <v>72</v>
      </c>
      <c r="R21" s="174" t="s">
        <v>73</v>
      </c>
    </row>
    <row r="22" spans="1:19" s="91" customFormat="1" ht="63" customHeight="1">
      <c r="A22" s="175" t="s">
        <v>150</v>
      </c>
      <c r="B22" s="176" t="s">
        <v>151</v>
      </c>
      <c r="C22" s="177">
        <f>"https://www.sae.org/attend/hybrid"</f>
        <v>0</v>
      </c>
      <c r="D22" s="95" t="s">
        <v>152</v>
      </c>
      <c r="E22" s="109" t="s">
        <v>153</v>
      </c>
      <c r="F22" s="95" t="s">
        <v>154</v>
      </c>
      <c r="G22" s="178" t="s">
        <v>155</v>
      </c>
      <c r="H22" s="179"/>
      <c r="I22" s="180"/>
      <c r="J22" s="181"/>
      <c r="K22" s="182"/>
      <c r="L22" s="113"/>
      <c r="M22" s="123"/>
      <c r="N22" s="116"/>
      <c r="O22" s="183" t="s">
        <v>53</v>
      </c>
      <c r="P22" s="184" t="s">
        <v>91</v>
      </c>
      <c r="Q22" s="185" t="s">
        <v>72</v>
      </c>
      <c r="R22" s="115" t="s">
        <v>73</v>
      </c>
      <c r="S22" s="107"/>
    </row>
    <row r="23" spans="1:64" s="91" customFormat="1" ht="39.75" customHeight="1">
      <c r="A23" s="92" t="s">
        <v>156</v>
      </c>
      <c r="B23" s="93" t="s">
        <v>157</v>
      </c>
      <c r="C23" s="186">
        <f>"https://event.webcasts.com/starthere.jsp?ei=1221845&amp;tp_key=9e3cc7a50f"</f>
        <v>0</v>
      </c>
      <c r="D23" s="95"/>
      <c r="E23" s="109" t="s">
        <v>158</v>
      </c>
      <c r="F23" s="95" t="s">
        <v>159</v>
      </c>
      <c r="G23" s="96" t="s">
        <v>160</v>
      </c>
      <c r="H23" s="153" t="s">
        <v>161</v>
      </c>
      <c r="I23" s="98"/>
      <c r="J23" s="112"/>
      <c r="K23" s="154"/>
      <c r="L23" s="121"/>
      <c r="M23" s="122"/>
      <c r="N23" s="103"/>
      <c r="O23" s="104" t="s">
        <v>53</v>
      </c>
      <c r="P23" s="95"/>
      <c r="Q23" s="105" t="s">
        <v>72</v>
      </c>
      <c r="R23" s="115" t="s">
        <v>73</v>
      </c>
      <c r="S23" s="11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s="91" customFormat="1" ht="25.5" customHeight="1">
      <c r="A24" s="92"/>
      <c r="B24" s="93"/>
      <c r="C24" s="186"/>
      <c r="D24" s="95"/>
      <c r="E24" s="109"/>
      <c r="F24" s="95"/>
      <c r="G24" s="96"/>
      <c r="H24" s="158" t="s">
        <v>136</v>
      </c>
      <c r="I24" s="98"/>
      <c r="J24" s="112"/>
      <c r="K24" s="154"/>
      <c r="L24" s="121"/>
      <c r="M24" s="122"/>
      <c r="N24" s="103"/>
      <c r="O24" s="104"/>
      <c r="P24" s="95"/>
      <c r="Q24" s="105"/>
      <c r="R24" s="115"/>
      <c r="S24" s="11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s="91" customFormat="1" ht="47.25" customHeight="1">
      <c r="A25" s="187" t="s">
        <v>162</v>
      </c>
      <c r="B25" s="95">
        <f>"CTnext"</f>
        <v>0</v>
      </c>
      <c r="C25" s="95">
        <f>"https://www.eiseverywhere.com/ereg/index.php?eventid=397124&amp;"</f>
        <v>0</v>
      </c>
      <c r="D25" s="95" t="s">
        <v>163</v>
      </c>
      <c r="E25" s="109" t="s">
        <v>164</v>
      </c>
      <c r="F25" s="95" t="s">
        <v>165</v>
      </c>
      <c r="G25" s="158" t="s">
        <v>166</v>
      </c>
      <c r="H25" s="188" t="s">
        <v>167</v>
      </c>
      <c r="I25" s="98"/>
      <c r="J25" s="112"/>
      <c r="K25" s="100"/>
      <c r="L25" s="121">
        <f>"Registration: (begins at 08:15 each day):  https://www.eiseverywhere.com/ereg/newreg.php?eventid=397124&amp;"</f>
        <v>0</v>
      </c>
      <c r="M25" s="122"/>
      <c r="N25" s="103"/>
      <c r="O25" s="104"/>
      <c r="P25" s="95"/>
      <c r="Q25" s="105" t="s">
        <v>72</v>
      </c>
      <c r="R25" s="115" t="s">
        <v>73</v>
      </c>
      <c r="S25" s="11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s="91" customFormat="1" ht="47.25" customHeight="1">
      <c r="A26" s="187"/>
      <c r="B26" s="95"/>
      <c r="C26" s="95"/>
      <c r="D26" s="95"/>
      <c r="E26" s="109" t="s">
        <v>168</v>
      </c>
      <c r="F26" s="95"/>
      <c r="G26" s="158"/>
      <c r="H26" s="188"/>
      <c r="I26" s="98"/>
      <c r="J26" s="112"/>
      <c r="K26" s="100"/>
      <c r="L26" s="121"/>
      <c r="M26" s="122"/>
      <c r="N26" s="103"/>
      <c r="O26" s="104"/>
      <c r="P26" s="95"/>
      <c r="Q26" s="105"/>
      <c r="R26" s="115"/>
      <c r="S26" s="11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s="91" customFormat="1" ht="73.5" customHeight="1">
      <c r="A27" s="92" t="s">
        <v>169</v>
      </c>
      <c r="B27" s="95" t="s">
        <v>170</v>
      </c>
      <c r="C27" s="95">
        <f>"Registration:  https://attendee.gototraining.com/r/5906897917211731457"</f>
        <v>0</v>
      </c>
      <c r="D27" s="95"/>
      <c r="E27" s="109" t="s">
        <v>171</v>
      </c>
      <c r="F27" s="95" t="s">
        <v>172</v>
      </c>
      <c r="G27" s="151" t="s">
        <v>173</v>
      </c>
      <c r="H27" s="152" t="s">
        <v>174</v>
      </c>
      <c r="I27" s="98"/>
      <c r="J27" s="112"/>
      <c r="K27" s="100"/>
      <c r="L27" s="121" t="s">
        <v>175</v>
      </c>
      <c r="M27" s="122"/>
      <c r="N27" s="103"/>
      <c r="O27" s="104" t="s">
        <v>176</v>
      </c>
      <c r="P27" s="95">
        <f>"https://tec.ieee.org/education/tutorials-webinars-on-ieee-tv"</f>
        <v>0</v>
      </c>
      <c r="Q27" s="105" t="s">
        <v>72</v>
      </c>
      <c r="R27" s="115" t="s">
        <v>73</v>
      </c>
      <c r="S27" s="11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s="91" customFormat="1" ht="30.75" customHeight="1">
      <c r="A28" s="92" t="s">
        <v>177</v>
      </c>
      <c r="B28" s="95" t="s">
        <v>178</v>
      </c>
      <c r="C28" s="95">
        <f>"Registration:  https://register.gotowebinar.com/register/1319898134604563203"</f>
        <v>0</v>
      </c>
      <c r="D28" s="95"/>
      <c r="E28" s="109" t="s">
        <v>179</v>
      </c>
      <c r="F28" s="95" t="s">
        <v>180</v>
      </c>
      <c r="G28" s="151" t="s">
        <v>181</v>
      </c>
      <c r="H28" s="153" t="s">
        <v>182</v>
      </c>
      <c r="I28" s="98"/>
      <c r="J28" s="112"/>
      <c r="K28" s="154"/>
      <c r="L28" s="121"/>
      <c r="M28" s="122"/>
      <c r="N28" s="103"/>
      <c r="O28" s="104" t="s">
        <v>183</v>
      </c>
      <c r="P28" s="95">
        <f>"https://tec.ieee.org/education/webinars/"</f>
        <v>0</v>
      </c>
      <c r="Q28" s="105" t="s">
        <v>72</v>
      </c>
      <c r="R28" s="115" t="s">
        <v>73</v>
      </c>
      <c r="S28" s="11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91" customFormat="1" ht="30.75" customHeight="1">
      <c r="A29" s="92"/>
      <c r="B29" s="95"/>
      <c r="C29" s="95"/>
      <c r="D29" s="95"/>
      <c r="E29" s="109"/>
      <c r="F29" s="95"/>
      <c r="G29" s="151"/>
      <c r="H29" s="153" t="s">
        <v>184</v>
      </c>
      <c r="I29" s="98"/>
      <c r="J29" s="112"/>
      <c r="K29" s="154"/>
      <c r="L29" s="121"/>
      <c r="M29" s="122"/>
      <c r="N29" s="103"/>
      <c r="O29" s="104"/>
      <c r="P29" s="95"/>
      <c r="Q29" s="105"/>
      <c r="R29" s="115"/>
      <c r="S29" s="11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s="91" customFormat="1" ht="40.5" customHeight="1">
      <c r="A30" s="92"/>
      <c r="B30" s="95"/>
      <c r="C30" s="95"/>
      <c r="D30" s="95"/>
      <c r="E30" s="109"/>
      <c r="F30" s="95"/>
      <c r="G30" s="151"/>
      <c r="H30" s="153" t="s">
        <v>185</v>
      </c>
      <c r="I30" s="98"/>
      <c r="J30" s="112"/>
      <c r="K30" s="154"/>
      <c r="L30" s="121"/>
      <c r="M30" s="122"/>
      <c r="N30" s="103"/>
      <c r="O30" s="104"/>
      <c r="P30" s="95"/>
      <c r="Q30" s="105"/>
      <c r="R30" s="115"/>
      <c r="S30" s="11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s="91" customFormat="1" ht="41.25" customHeight="1">
      <c r="A31" s="92" t="s">
        <v>186</v>
      </c>
      <c r="B31" s="93" t="s">
        <v>187</v>
      </c>
      <c r="C31" s="186">
        <f>"https://event.webcasts.com/starthere.jsp?ei=1221815&amp;tp_key=5adcd21465"</f>
        <v>0</v>
      </c>
      <c r="D31" s="95"/>
      <c r="E31" s="109" t="s">
        <v>188</v>
      </c>
      <c r="F31" s="95" t="s">
        <v>189</v>
      </c>
      <c r="G31" s="96" t="s">
        <v>190</v>
      </c>
      <c r="H31" s="153" t="s">
        <v>191</v>
      </c>
      <c r="I31" s="98"/>
      <c r="J31" s="112"/>
      <c r="K31" s="154"/>
      <c r="L31" s="121"/>
      <c r="M31" s="122"/>
      <c r="N31" s="103"/>
      <c r="O31" s="104" t="s">
        <v>53</v>
      </c>
      <c r="P31" s="95"/>
      <c r="Q31" s="105" t="s">
        <v>72</v>
      </c>
      <c r="R31" s="115" t="s">
        <v>73</v>
      </c>
      <c r="S31" s="11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s="91" customFormat="1" ht="41.25" customHeight="1">
      <c r="A32" s="92"/>
      <c r="B32" s="93"/>
      <c r="C32" s="186"/>
      <c r="D32" s="95"/>
      <c r="E32" s="109"/>
      <c r="F32" s="95"/>
      <c r="G32" s="96"/>
      <c r="H32" s="153" t="s">
        <v>192</v>
      </c>
      <c r="I32" s="98"/>
      <c r="J32" s="112"/>
      <c r="K32" s="154"/>
      <c r="L32" s="121"/>
      <c r="M32" s="122"/>
      <c r="N32" s="103"/>
      <c r="O32" s="104"/>
      <c r="P32" s="95"/>
      <c r="Q32" s="105"/>
      <c r="R32" s="115"/>
      <c r="S32" s="11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s="91" customFormat="1" ht="21" customHeight="1">
      <c r="A33" s="92"/>
      <c r="B33" s="93"/>
      <c r="C33" s="186"/>
      <c r="D33" s="95"/>
      <c r="E33" s="109"/>
      <c r="F33" s="95"/>
      <c r="G33" s="96"/>
      <c r="H33" s="153" t="s">
        <v>193</v>
      </c>
      <c r="I33" s="98"/>
      <c r="J33" s="112"/>
      <c r="K33" s="154"/>
      <c r="L33" s="121"/>
      <c r="M33" s="122"/>
      <c r="N33" s="103"/>
      <c r="O33" s="104"/>
      <c r="P33" s="95"/>
      <c r="Q33" s="105"/>
      <c r="R33" s="115"/>
      <c r="S33" s="11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s="91" customFormat="1" ht="218.25" customHeight="1">
      <c r="A34" s="92" t="s">
        <v>194</v>
      </c>
      <c r="B34" s="93" t="s">
        <v>195</v>
      </c>
      <c r="C34" s="186">
        <f>"https://volpe-events.webex.com/mw3300/mywebex/default.do?nomenu=true&amp;siteurl=volpe-events&amp;service=6&amp;rnd=0.946662699596026&amp;main_url=https%3A%2F%2Fvolpe-events.webex.com%2Fec3300%2Feventcenter%2Fevent%2FeventAction.do%3FtheAction%3Ddetail%26%26%26EMK%3D4832"</f>
        <v>0</v>
      </c>
      <c r="D34" s="186"/>
      <c r="E34" s="109" t="s">
        <v>196</v>
      </c>
      <c r="F34" s="95" t="s">
        <v>197</v>
      </c>
      <c r="G34" s="151" t="s">
        <v>198</v>
      </c>
      <c r="H34" s="97"/>
      <c r="I34" s="98"/>
      <c r="J34" s="112"/>
      <c r="K34" s="189">
        <f>"mailto:dotsbir@dot.gov"</f>
        <v>0</v>
      </c>
      <c r="L34" s="190">
        <f>"Main Link:  http://www.LeviCar.com/PROACCTIVE.php#DoT-SBIR"</f>
        <v>0</v>
      </c>
      <c r="M34" s="122"/>
      <c r="N34" s="103"/>
      <c r="O34" s="141"/>
      <c r="P34" s="95"/>
      <c r="Q34" s="105"/>
      <c r="R34" s="115" t="s">
        <v>73</v>
      </c>
      <c r="S34" s="11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s="91" customFormat="1" ht="18.75" customHeight="1">
      <c r="A35" s="92" t="s">
        <v>199</v>
      </c>
      <c r="B35" s="93" t="s">
        <v>200</v>
      </c>
      <c r="C35" s="186">
        <f>"https://teslasciencecenter.z2systems.com/np/clients/teslasciencecenter/viewOnlineEmail.jsp?emailId=a4877ab9cf386b184bf95b1cc2e569f3am9522701a48"</f>
        <v>0</v>
      </c>
      <c r="D35" s="95" t="s">
        <v>201</v>
      </c>
      <c r="E35" s="109" t="s">
        <v>202</v>
      </c>
      <c r="F35" s="95" t="s">
        <v>203</v>
      </c>
      <c r="G35" s="191" t="s">
        <v>204</v>
      </c>
      <c r="H35" s="192"/>
      <c r="I35" s="193" t="s">
        <v>205</v>
      </c>
      <c r="J35" s="193"/>
      <c r="K35" s="194" t="s">
        <v>206</v>
      </c>
      <c r="L35" s="101">
        <f>"Membership Information:  http://www.teslasciencecenter.org/become-a-member/"</f>
        <v>0</v>
      </c>
      <c r="M35" s="122" t="s">
        <v>207</v>
      </c>
      <c r="N35" s="103" t="s">
        <v>208</v>
      </c>
      <c r="O35" s="104" t="s">
        <v>209</v>
      </c>
      <c r="P35" s="95">
        <f>"https://teslasciencecenter.org/"</f>
        <v>0</v>
      </c>
      <c r="Q35" s="105" t="s">
        <v>108</v>
      </c>
      <c r="R35" s="106" t="s">
        <v>109</v>
      </c>
      <c r="S35" s="11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s="91" customFormat="1" ht="18.75" customHeight="1">
      <c r="A36" s="92"/>
      <c r="B36" s="93"/>
      <c r="C36" s="186"/>
      <c r="D36" s="95"/>
      <c r="E36" s="109"/>
      <c r="F36" s="95"/>
      <c r="G36" s="191"/>
      <c r="H36" s="192"/>
      <c r="I36" s="193" t="s">
        <v>210</v>
      </c>
      <c r="J36" s="193"/>
      <c r="K36" s="194"/>
      <c r="L36" s="101"/>
      <c r="M36" s="122" t="s">
        <v>211</v>
      </c>
      <c r="N36" s="103" t="s">
        <v>212</v>
      </c>
      <c r="O36" s="104"/>
      <c r="P36" s="95"/>
      <c r="Q36" s="105"/>
      <c r="R36" s="106"/>
      <c r="S36" s="11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s="91" customFormat="1" ht="18.75" customHeight="1">
      <c r="A37" s="92"/>
      <c r="B37" s="93"/>
      <c r="C37" s="186"/>
      <c r="D37" s="95"/>
      <c r="E37" s="109"/>
      <c r="F37" s="95"/>
      <c r="G37" s="191"/>
      <c r="H37" s="192"/>
      <c r="I37" s="193" t="s">
        <v>213</v>
      </c>
      <c r="J37" s="193"/>
      <c r="K37" s="194"/>
      <c r="L37" s="101"/>
      <c r="M37" s="122" t="s">
        <v>214</v>
      </c>
      <c r="N37" s="103" t="s">
        <v>215</v>
      </c>
      <c r="O37" s="104"/>
      <c r="P37" s="95"/>
      <c r="Q37" s="105"/>
      <c r="R37" s="106"/>
      <c r="S37" s="11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4" s="91" customFormat="1" ht="22.5" customHeight="1">
      <c r="A38" s="92"/>
      <c r="B38" s="93"/>
      <c r="C38" s="186"/>
      <c r="D38" s="95" t="s">
        <v>216</v>
      </c>
      <c r="E38" s="109" t="s">
        <v>217</v>
      </c>
      <c r="F38" s="95"/>
      <c r="G38" s="191"/>
      <c r="H38" s="192"/>
      <c r="I38" s="193" t="s">
        <v>218</v>
      </c>
      <c r="J38" s="193"/>
      <c r="K38" s="195">
        <f>"Trailer:  https://vimeo.com/105653904"</f>
        <v>0</v>
      </c>
      <c r="L38" s="101"/>
      <c r="M38" s="122" t="s">
        <v>219</v>
      </c>
      <c r="N38" s="103" t="s">
        <v>220</v>
      </c>
      <c r="O38" s="104"/>
      <c r="P38" s="95"/>
      <c r="Q38" s="105"/>
      <c r="R38" s="106"/>
      <c r="S38" s="11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s="91" customFormat="1" ht="22.5" customHeight="1">
      <c r="A39" s="92"/>
      <c r="B39" s="93"/>
      <c r="C39" s="186"/>
      <c r="D39" s="95"/>
      <c r="E39" s="109"/>
      <c r="F39" s="95"/>
      <c r="G39" s="191"/>
      <c r="H39" s="192"/>
      <c r="I39" s="193" t="s">
        <v>221</v>
      </c>
      <c r="J39" s="193"/>
      <c r="K39" s="195"/>
      <c r="L39" s="101"/>
      <c r="M39" s="122"/>
      <c r="N39" s="103"/>
      <c r="O39" s="104"/>
      <c r="P39" s="95"/>
      <c r="Q39" s="105"/>
      <c r="R39" s="106"/>
      <c r="S39" s="11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64" s="91" customFormat="1" ht="74.25" customHeight="1">
      <c r="A40" s="92" t="s">
        <v>222</v>
      </c>
      <c r="B40" s="95" t="s">
        <v>223</v>
      </c>
      <c r="C40" s="95">
        <f>"Registration:  https://attendee.gototraining.com/r/6249316624426818561"</f>
        <v>0</v>
      </c>
      <c r="D40" s="95"/>
      <c r="E40" s="109" t="s">
        <v>224</v>
      </c>
      <c r="F40" s="95" t="s">
        <v>172</v>
      </c>
      <c r="G40" s="151" t="s">
        <v>225</v>
      </c>
      <c r="H40" s="152" t="s">
        <v>174</v>
      </c>
      <c r="I40" s="98"/>
      <c r="J40" s="112"/>
      <c r="K40" s="100"/>
      <c r="L40" s="121" t="s">
        <v>175</v>
      </c>
      <c r="M40" s="122"/>
      <c r="N40" s="103"/>
      <c r="O40" s="104" t="s">
        <v>176</v>
      </c>
      <c r="P40" s="95">
        <f>"https://tec.ieee.org/education/tutorials-webinars-on-ieee-tv"</f>
        <v>0</v>
      </c>
      <c r="Q40" s="105" t="s">
        <v>72</v>
      </c>
      <c r="R40" s="115" t="s">
        <v>73</v>
      </c>
      <c r="S40" s="11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91" customFormat="1" ht="42" customHeight="1">
      <c r="A41" s="92" t="s">
        <v>226</v>
      </c>
      <c r="B41" s="93" t="s">
        <v>227</v>
      </c>
      <c r="C41" s="186">
        <f>"https://event.webcasts.com/starthere.jsp?ei=1225121&amp;tp_key=61f241bb5f"</f>
        <v>0</v>
      </c>
      <c r="D41" s="95"/>
      <c r="E41" s="109" t="s">
        <v>228</v>
      </c>
      <c r="F41" s="95" t="s">
        <v>229</v>
      </c>
      <c r="G41" s="96" t="s">
        <v>230</v>
      </c>
      <c r="H41" s="153" t="s">
        <v>191</v>
      </c>
      <c r="I41" s="98"/>
      <c r="J41" s="112"/>
      <c r="K41" s="154"/>
      <c r="L41" s="121"/>
      <c r="M41" s="122"/>
      <c r="N41" s="103"/>
      <c r="O41" s="104" t="s">
        <v>53</v>
      </c>
      <c r="P41" s="95"/>
      <c r="Q41" s="105" t="s">
        <v>72</v>
      </c>
      <c r="R41" s="115" t="s">
        <v>73</v>
      </c>
      <c r="S41" s="11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s="91" customFormat="1" ht="30" customHeight="1">
      <c r="A42" s="92"/>
      <c r="B42" s="93"/>
      <c r="C42" s="186"/>
      <c r="D42" s="95"/>
      <c r="E42" s="109"/>
      <c r="F42" s="95"/>
      <c r="G42" s="96"/>
      <c r="H42" s="153" t="s">
        <v>231</v>
      </c>
      <c r="I42" s="98"/>
      <c r="J42" s="112"/>
      <c r="K42" s="154"/>
      <c r="L42" s="121"/>
      <c r="M42" s="122"/>
      <c r="N42" s="103"/>
      <c r="O42" s="104"/>
      <c r="P42" s="95"/>
      <c r="Q42" s="105"/>
      <c r="R42" s="115"/>
      <c r="S42" s="11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64" s="91" customFormat="1" ht="21" customHeight="1">
      <c r="A43" s="92"/>
      <c r="B43" s="93"/>
      <c r="C43" s="186"/>
      <c r="D43" s="95"/>
      <c r="E43" s="109"/>
      <c r="F43" s="95"/>
      <c r="G43" s="96"/>
      <c r="H43" s="153" t="s">
        <v>193</v>
      </c>
      <c r="I43" s="98"/>
      <c r="J43" s="112"/>
      <c r="K43" s="154"/>
      <c r="L43" s="121"/>
      <c r="M43" s="122"/>
      <c r="N43" s="103"/>
      <c r="O43" s="104"/>
      <c r="P43" s="95"/>
      <c r="Q43" s="105"/>
      <c r="R43" s="115"/>
      <c r="S43" s="11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s="91" customFormat="1" ht="63.75" customHeight="1">
      <c r="A44" s="92" t="s">
        <v>232</v>
      </c>
      <c r="B44" s="93" t="s">
        <v>233</v>
      </c>
      <c r="C44" s="94">
        <f>"https://www.sae.org/learn/content/c1896/"</f>
        <v>0</v>
      </c>
      <c r="D44" s="95" t="s">
        <v>76</v>
      </c>
      <c r="E44" s="109" t="s">
        <v>234</v>
      </c>
      <c r="F44" s="95" t="s">
        <v>235</v>
      </c>
      <c r="G44" s="96" t="s">
        <v>236</v>
      </c>
      <c r="H44" s="97"/>
      <c r="I44" s="98"/>
      <c r="J44" s="99"/>
      <c r="K44" s="100"/>
      <c r="L44" s="121" t="s">
        <v>237</v>
      </c>
      <c r="M44" s="123" t="s">
        <v>238</v>
      </c>
      <c r="N44" s="116">
        <f>"Instructor: Rajeev Thakur"</f>
        <v>0</v>
      </c>
      <c r="O44" s="141" t="s">
        <v>83</v>
      </c>
      <c r="P44" s="95">
        <f>"https://www.sae.org/learn/professional-development"</f>
        <v>0</v>
      </c>
      <c r="Q44" s="105" t="s">
        <v>72</v>
      </c>
      <c r="R44" s="115" t="s">
        <v>73</v>
      </c>
      <c r="S44" s="11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5" spans="1:64" s="91" customFormat="1" ht="75" customHeight="1">
      <c r="A45" s="92" t="s">
        <v>239</v>
      </c>
      <c r="B45" s="95" t="s">
        <v>240</v>
      </c>
      <c r="C45" s="95">
        <f>"Registration:  https://attendee.gototraining.com/r/3707481037275186945"</f>
        <v>0</v>
      </c>
      <c r="D45" s="95"/>
      <c r="E45" s="109" t="s">
        <v>241</v>
      </c>
      <c r="F45" s="95" t="s">
        <v>172</v>
      </c>
      <c r="G45" s="151" t="s">
        <v>242</v>
      </c>
      <c r="H45" s="152" t="s">
        <v>174</v>
      </c>
      <c r="I45" s="98"/>
      <c r="J45" s="112"/>
      <c r="K45" s="100"/>
      <c r="L45" s="121" t="s">
        <v>175</v>
      </c>
      <c r="M45" s="122"/>
      <c r="N45" s="103"/>
      <c r="O45" s="104" t="s">
        <v>176</v>
      </c>
      <c r="P45" s="95">
        <f>"https://tec.ieee.org/education/tutorials-webinars-on-ieee-tv"</f>
        <v>0</v>
      </c>
      <c r="Q45" s="105" t="s">
        <v>72</v>
      </c>
      <c r="R45" s="115" t="s">
        <v>73</v>
      </c>
      <c r="S45" s="11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64" s="91" customFormat="1" ht="40.5" customHeight="1">
      <c r="A46" s="92" t="s">
        <v>243</v>
      </c>
      <c r="B46" s="95" t="s">
        <v>244</v>
      </c>
      <c r="C46" s="95">
        <f>"https://event.webcasts.com/starthere.jsp?ei=1229315&amp;tp_key=9b9c1b5d86"</f>
        <v>0</v>
      </c>
      <c r="D46" s="95"/>
      <c r="E46" s="109" t="s">
        <v>245</v>
      </c>
      <c r="F46" s="95" t="s">
        <v>246</v>
      </c>
      <c r="G46" s="151" t="s">
        <v>247</v>
      </c>
      <c r="H46" s="153" t="s">
        <v>248</v>
      </c>
      <c r="I46" s="98"/>
      <c r="J46" s="112"/>
      <c r="K46" s="154"/>
      <c r="L46" s="121"/>
      <c r="M46" s="122"/>
      <c r="N46" s="103"/>
      <c r="O46" s="104" t="s">
        <v>53</v>
      </c>
      <c r="P46" s="95">
        <f>"https://www.sae.org/webcasts"</f>
        <v>0</v>
      </c>
      <c r="Q46" s="105" t="s">
        <v>72</v>
      </c>
      <c r="R46" s="115" t="s">
        <v>73</v>
      </c>
      <c r="S46" s="11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s="91" customFormat="1" ht="30" customHeight="1">
      <c r="A47" s="92"/>
      <c r="B47" s="95"/>
      <c r="C47" s="95"/>
      <c r="D47" s="95"/>
      <c r="E47" s="95"/>
      <c r="F47" s="95"/>
      <c r="G47" s="151"/>
      <c r="H47" s="153" t="s">
        <v>249</v>
      </c>
      <c r="I47" s="98"/>
      <c r="J47" s="112"/>
      <c r="K47" s="154"/>
      <c r="L47" s="121"/>
      <c r="M47" s="122"/>
      <c r="N47" s="103"/>
      <c r="O47" s="104"/>
      <c r="P47" s="95"/>
      <c r="Q47" s="105"/>
      <c r="R47" s="115"/>
      <c r="S47" s="11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</row>
    <row r="48" spans="1:64" ht="27" customHeight="1">
      <c r="A48" s="92"/>
      <c r="B48" s="95"/>
      <c r="C48" s="95"/>
      <c r="D48" s="95"/>
      <c r="E48" s="95"/>
      <c r="F48" s="157" t="s">
        <v>250</v>
      </c>
      <c r="G48" s="151"/>
      <c r="H48" s="153" t="s">
        <v>251</v>
      </c>
      <c r="I48" s="98"/>
      <c r="J48" s="112"/>
      <c r="K48" s="154"/>
      <c r="L48" s="121"/>
      <c r="M48" s="122"/>
      <c r="N48" s="103"/>
      <c r="O48" s="104"/>
      <c r="P48" s="95"/>
      <c r="Q48" s="105"/>
      <c r="R48" s="115"/>
      <c r="S48" s="11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64" ht="18.75" customHeight="1">
      <c r="A49" s="92"/>
      <c r="B49" s="95"/>
      <c r="C49" s="95"/>
      <c r="D49" s="95"/>
      <c r="E49" s="95"/>
      <c r="F49" s="157"/>
      <c r="G49" s="151"/>
      <c r="H49" s="153" t="s">
        <v>193</v>
      </c>
      <c r="I49" s="98"/>
      <c r="J49" s="112"/>
      <c r="K49" s="154"/>
      <c r="L49" s="121"/>
      <c r="M49" s="122"/>
      <c r="N49" s="103"/>
      <c r="O49" s="104"/>
      <c r="P49" s="95"/>
      <c r="Q49" s="105"/>
      <c r="R49" s="115"/>
      <c r="S49" s="11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64" s="91" customFormat="1" ht="78" customHeight="1">
      <c r="A50" s="92" t="s">
        <v>252</v>
      </c>
      <c r="B50" s="95" t="s">
        <v>253</v>
      </c>
      <c r="C50" s="95">
        <f>"https://nordicevs.no/"</f>
        <v>0</v>
      </c>
      <c r="D50" s="95" t="s">
        <v>254</v>
      </c>
      <c r="E50" s="109" t="s">
        <v>255</v>
      </c>
      <c r="F50" s="95" t="s">
        <v>256</v>
      </c>
      <c r="G50" s="151" t="s">
        <v>257</v>
      </c>
      <c r="H50" s="97"/>
      <c r="I50" s="98"/>
      <c r="J50" s="112"/>
      <c r="K50" s="100">
        <f>"https://nordicevs.no/#contact"</f>
        <v>0</v>
      </c>
      <c r="L50" s="121"/>
      <c r="M50" s="122"/>
      <c r="N50" s="103"/>
      <c r="O50" s="141" t="s">
        <v>258</v>
      </c>
      <c r="P50" s="95" t="s">
        <v>259</v>
      </c>
      <c r="Q50" s="105" t="s">
        <v>72</v>
      </c>
      <c r="R50" s="115" t="s">
        <v>73</v>
      </c>
      <c r="S50" s="11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</row>
    <row r="51" spans="1:64" s="91" customFormat="1" ht="15.75" customHeight="1">
      <c r="A51" s="92" t="s">
        <v>260</v>
      </c>
      <c r="B51" s="95" t="s">
        <v>261</v>
      </c>
      <c r="C51" s="186">
        <f>"http://www.trb.org/Main/Blurbs/178723.aspx"</f>
        <v>0</v>
      </c>
      <c r="D51" s="95"/>
      <c r="E51" s="109" t="s">
        <v>262</v>
      </c>
      <c r="F51" s="95" t="s">
        <v>263</v>
      </c>
      <c r="G51" s="151" t="s">
        <v>264</v>
      </c>
      <c r="H51" s="196" t="s">
        <v>265</v>
      </c>
      <c r="I51" s="104" t="s">
        <v>266</v>
      </c>
      <c r="J51" s="112"/>
      <c r="K51" s="100">
        <f>"RGillum@nas.edu"</f>
        <v>0</v>
      </c>
      <c r="L51" s="190">
        <f>"Mandatory Free Registration:  https://webinar.mytrb.org/Home/Login?WebinarID=1258"</f>
        <v>0</v>
      </c>
      <c r="M51" s="122"/>
      <c r="N51" s="103"/>
      <c r="O51" s="104" t="s">
        <v>71</v>
      </c>
      <c r="P51" s="95" t="s">
        <v>267</v>
      </c>
      <c r="Q51" s="105" t="s">
        <v>72</v>
      </c>
      <c r="R51" s="115" t="s">
        <v>73</v>
      </c>
      <c r="S51" s="11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</row>
    <row r="52" spans="1:64" s="91" customFormat="1" ht="15.75" customHeight="1">
      <c r="A52" s="92"/>
      <c r="B52" s="95"/>
      <c r="C52" s="186"/>
      <c r="D52" s="95"/>
      <c r="E52" s="95"/>
      <c r="F52" s="95"/>
      <c r="G52" s="151"/>
      <c r="H52" s="196" t="s">
        <v>268</v>
      </c>
      <c r="I52" s="104"/>
      <c r="J52" s="112"/>
      <c r="K52" s="100"/>
      <c r="L52" s="190"/>
      <c r="M52" s="122"/>
      <c r="N52" s="103"/>
      <c r="O52" s="104"/>
      <c r="P52" s="95"/>
      <c r="Q52" s="105"/>
      <c r="R52" s="115"/>
      <c r="S52" s="11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</row>
    <row r="53" spans="1:64" s="91" customFormat="1" ht="15.75" customHeight="1">
      <c r="A53" s="92"/>
      <c r="B53" s="95"/>
      <c r="C53" s="186"/>
      <c r="D53" s="95"/>
      <c r="E53" s="95"/>
      <c r="F53" s="95"/>
      <c r="G53" s="151"/>
      <c r="H53" s="196" t="s">
        <v>269</v>
      </c>
      <c r="I53" s="104"/>
      <c r="J53" s="112"/>
      <c r="K53" s="100"/>
      <c r="L53" s="190"/>
      <c r="M53" s="122"/>
      <c r="N53" s="103"/>
      <c r="O53" s="104"/>
      <c r="P53" s="95"/>
      <c r="Q53" s="105"/>
      <c r="R53" s="115"/>
      <c r="S53" s="11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1:64" s="91" customFormat="1" ht="15.75" customHeight="1">
      <c r="A54" s="92"/>
      <c r="B54" s="95"/>
      <c r="C54" s="186"/>
      <c r="D54" s="95"/>
      <c r="E54" s="95"/>
      <c r="F54" s="95"/>
      <c r="G54" s="151"/>
      <c r="H54" s="196" t="s">
        <v>270</v>
      </c>
      <c r="I54" s="104"/>
      <c r="J54" s="112"/>
      <c r="K54" s="100"/>
      <c r="L54" s="190"/>
      <c r="M54" s="122"/>
      <c r="N54" s="103"/>
      <c r="O54" s="104"/>
      <c r="P54" s="95"/>
      <c r="Q54" s="105"/>
      <c r="R54" s="115"/>
      <c r="S54" s="11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s="91" customFormat="1" ht="15.75" customHeight="1">
      <c r="A55" s="92"/>
      <c r="B55" s="95"/>
      <c r="C55" s="186"/>
      <c r="D55" s="95"/>
      <c r="E55" s="95"/>
      <c r="F55" s="95"/>
      <c r="G55" s="151"/>
      <c r="H55" s="196" t="s">
        <v>271</v>
      </c>
      <c r="I55" s="104"/>
      <c r="J55" s="112"/>
      <c r="K55" s="100"/>
      <c r="L55" s="190"/>
      <c r="M55" s="122"/>
      <c r="N55" s="103"/>
      <c r="O55" s="104"/>
      <c r="P55" s="95"/>
      <c r="Q55" s="105"/>
      <c r="R55" s="115"/>
      <c r="S55" s="11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s="91" customFormat="1" ht="72.75" customHeight="1">
      <c r="A56" s="92" t="s">
        <v>272</v>
      </c>
      <c r="B56" s="95" t="s">
        <v>273</v>
      </c>
      <c r="C56" s="95">
        <f>"Registration:  https://attendee.gototraining.com/r/129454695434925825"</f>
        <v>0</v>
      </c>
      <c r="D56" s="95"/>
      <c r="E56" s="109" t="s">
        <v>274</v>
      </c>
      <c r="F56" s="95" t="s">
        <v>172</v>
      </c>
      <c r="G56" s="151" t="s">
        <v>275</v>
      </c>
      <c r="H56" s="152" t="s">
        <v>174</v>
      </c>
      <c r="I56" s="98"/>
      <c r="J56" s="112"/>
      <c r="K56" s="100"/>
      <c r="L56" s="121" t="s">
        <v>175</v>
      </c>
      <c r="M56" s="122"/>
      <c r="N56" s="103"/>
      <c r="O56" s="104" t="s">
        <v>176</v>
      </c>
      <c r="P56" s="95">
        <f>"https://tec.ieee.org/education/tutorials-webinars-on-ieee-tv"</f>
        <v>0</v>
      </c>
      <c r="Q56" s="105" t="s">
        <v>72</v>
      </c>
      <c r="R56" s="115" t="s">
        <v>73</v>
      </c>
      <c r="S56" s="11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64" s="91" customFormat="1" ht="63.75" customHeight="1">
      <c r="A57" s="92" t="s">
        <v>276</v>
      </c>
      <c r="B57" s="93" t="s">
        <v>277</v>
      </c>
      <c r="C57" s="94">
        <f>"https://events.economedia.bg/en/event/117"</f>
        <v>0</v>
      </c>
      <c r="D57" s="95" t="s">
        <v>278</v>
      </c>
      <c r="E57" s="109" t="s">
        <v>279</v>
      </c>
      <c r="F57" s="95" t="s">
        <v>280</v>
      </c>
      <c r="G57" s="96">
        <f>"Now is the time for conversation, connection and innovation, which will shape the future of cities and mobility systems."</f>
        <v>0</v>
      </c>
      <c r="H57" s="97"/>
      <c r="I57" s="98"/>
      <c r="J57" s="99"/>
      <c r="K57" s="100"/>
      <c r="L57" s="121"/>
      <c r="M57" s="123"/>
      <c r="N57" s="116"/>
      <c r="O57" s="104" t="s">
        <v>258</v>
      </c>
      <c r="P57" s="95" t="s">
        <v>259</v>
      </c>
      <c r="Q57" s="105" t="s">
        <v>72</v>
      </c>
      <c r="R57" s="115" t="s">
        <v>73</v>
      </c>
      <c r="S57" s="11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s="91" customFormat="1" ht="63.75" customHeight="1">
      <c r="A58" s="92" t="s">
        <v>281</v>
      </c>
      <c r="B58" s="93" t="s">
        <v>282</v>
      </c>
      <c r="C58" s="94">
        <f>"https://avere.org/event/nce-fastevnet-final-action-conference/?instance_id=17"</f>
        <v>0</v>
      </c>
      <c r="D58" s="95" t="s">
        <v>283</v>
      </c>
      <c r="E58" s="109" t="s">
        <v>284</v>
      </c>
      <c r="F58" s="95" t="s">
        <v>285</v>
      </c>
      <c r="G58" s="96" t="s">
        <v>286</v>
      </c>
      <c r="H58" s="97"/>
      <c r="I58" s="98" t="s">
        <v>287</v>
      </c>
      <c r="J58" s="99"/>
      <c r="K58" s="100">
        <f>"mailto:julia.bircakova@greenwaynetwork.com"</f>
        <v>0</v>
      </c>
      <c r="L58" s="121"/>
      <c r="M58" s="123"/>
      <c r="N58" s="116"/>
      <c r="O58" s="104" t="s">
        <v>258</v>
      </c>
      <c r="P58" s="95" t="s">
        <v>259</v>
      </c>
      <c r="Q58" s="105" t="s">
        <v>72</v>
      </c>
      <c r="R58" s="115" t="s">
        <v>73</v>
      </c>
      <c r="S58" s="11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s="91" customFormat="1" ht="63.75" customHeight="1">
      <c r="A59" s="92" t="s">
        <v>288</v>
      </c>
      <c r="B59" s="93" t="s">
        <v>289</v>
      </c>
      <c r="C59" s="94">
        <f>"https://avere.org/event/move-2019-congress/?instance_id=15"</f>
        <v>0</v>
      </c>
      <c r="D59" s="95" t="s">
        <v>290</v>
      </c>
      <c r="E59" s="109" t="s">
        <v>291</v>
      </c>
      <c r="F59" s="95" t="s">
        <v>292</v>
      </c>
      <c r="G59" s="96" t="s">
        <v>293</v>
      </c>
      <c r="H59" s="97"/>
      <c r="I59" s="98"/>
      <c r="J59" s="99"/>
      <c r="K59" s="100">
        <f>"Contact Form:  https://kongresmove.pl/#kontakt (in Polish)"</f>
        <v>0</v>
      </c>
      <c r="L59" s="121"/>
      <c r="M59" s="123"/>
      <c r="N59" s="116"/>
      <c r="O59" s="104" t="s">
        <v>258</v>
      </c>
      <c r="P59" s="95" t="s">
        <v>259</v>
      </c>
      <c r="Q59" s="105" t="s">
        <v>72</v>
      </c>
      <c r="R59" s="115" t="s">
        <v>73</v>
      </c>
      <c r="S59" s="11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s="91" customFormat="1" ht="40.5" customHeight="1">
      <c r="A60" s="92" t="s">
        <v>56</v>
      </c>
      <c r="B60" s="93" t="s">
        <v>294</v>
      </c>
      <c r="C60" s="94" t="s">
        <v>295</v>
      </c>
      <c r="D60" s="95" t="s">
        <v>296</v>
      </c>
      <c r="E60" s="109" t="s">
        <v>297</v>
      </c>
      <c r="F60" s="95" t="s">
        <v>61</v>
      </c>
      <c r="G60" s="96" t="s">
        <v>298</v>
      </c>
      <c r="H60" s="97"/>
      <c r="I60" s="98"/>
      <c r="J60" s="99"/>
      <c r="K60" s="189">
        <f>"Series link:  http://transportationcamp.org/"</f>
        <v>0</v>
      </c>
      <c r="L60" s="101">
        <f>"Essential guide:  http://transportationcamp.org/2011/02/how-transportationcamp-works-the-essential-guide/"</f>
        <v>0</v>
      </c>
      <c r="M60" s="101"/>
      <c r="N60" s="103"/>
      <c r="O60" s="104"/>
      <c r="P60" s="95"/>
      <c r="Q60" s="105" t="s">
        <v>54</v>
      </c>
      <c r="R60" s="106" t="s">
        <v>63</v>
      </c>
      <c r="S60" s="11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4" s="91" customFormat="1" ht="63.75" customHeight="1">
      <c r="A61" s="92" t="s">
        <v>299</v>
      </c>
      <c r="B61" s="93" t="s">
        <v>300</v>
      </c>
      <c r="C61" s="94">
        <f>"https://www.apac20.com/"</f>
        <v>0</v>
      </c>
      <c r="D61" s="95" t="s">
        <v>301</v>
      </c>
      <c r="E61" s="109" t="s">
        <v>302</v>
      </c>
      <c r="F61" s="95" t="s">
        <v>303</v>
      </c>
      <c r="G61" s="96" t="s">
        <v>304</v>
      </c>
      <c r="H61" s="97"/>
      <c r="I61" s="98"/>
      <c r="J61" s="99"/>
      <c r="K61" s="100">
        <f>"Contact Page with Map:  https://www.apac20.com/contact"</f>
        <v>0</v>
      </c>
      <c r="L61" s="121"/>
      <c r="M61" s="123"/>
      <c r="N61" s="116"/>
      <c r="O61" s="104" t="s">
        <v>53</v>
      </c>
      <c r="P61" s="95" t="s">
        <v>91</v>
      </c>
      <c r="Q61" s="105" t="s">
        <v>72</v>
      </c>
      <c r="R61" s="115" t="s">
        <v>73</v>
      </c>
      <c r="S61" s="11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4" s="91" customFormat="1" ht="67.5" customHeight="1">
      <c r="A62" s="92" t="s">
        <v>305</v>
      </c>
      <c r="B62" s="93" t="s">
        <v>306</v>
      </c>
      <c r="C62" s="186">
        <f>"https://driveelectricearthday.org/"</f>
        <v>0</v>
      </c>
      <c r="D62" s="95" t="s">
        <v>307</v>
      </c>
      <c r="E62" s="109" t="s">
        <v>308</v>
      </c>
      <c r="F62" s="95" t="s">
        <v>309</v>
      </c>
      <c r="G62" s="96" t="s">
        <v>310</v>
      </c>
      <c r="H62" s="97"/>
      <c r="I62" s="98"/>
      <c r="J62" s="112"/>
      <c r="K62" s="189">
        <f>"Search / Organize / Register events:  https://driveelectricearthday.org/events.php#search-event"</f>
        <v>0</v>
      </c>
      <c r="L62" s="190">
        <f>"List of Events:  https://driveelectricearthday.org/events-list.php"</f>
        <v>0</v>
      </c>
      <c r="M62" s="122"/>
      <c r="N62" s="103"/>
      <c r="O62" s="104" t="s">
        <v>311</v>
      </c>
      <c r="P62" s="197">
        <f>"https://driveelectricearthday.org/"</f>
        <v>0</v>
      </c>
      <c r="Q62" s="105" t="s">
        <v>108</v>
      </c>
      <c r="R62" s="106" t="s">
        <v>109</v>
      </c>
      <c r="S62" s="11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ht="41.25" customHeight="1">
      <c r="A63" s="92"/>
      <c r="B63" s="93"/>
      <c r="C63" s="186"/>
      <c r="D63" s="95"/>
      <c r="E63" s="109"/>
      <c r="F63" s="109"/>
      <c r="G63" s="96"/>
      <c r="H63" s="97"/>
      <c r="I63" s="98"/>
      <c r="J63" s="112"/>
      <c r="K63" s="189">
        <f>"Resources:  https://driveelectricearthday.org/resources.php"</f>
        <v>0</v>
      </c>
      <c r="L63" s="198">
        <f>"Volunteer:  https://driveelectricearthday.org/volunteer.php"</f>
        <v>0</v>
      </c>
      <c r="M63" s="122"/>
      <c r="N63" s="103"/>
      <c r="O63" s="199" t="s">
        <v>106</v>
      </c>
      <c r="P63" s="200" t="s">
        <v>107</v>
      </c>
      <c r="Q63" s="105"/>
      <c r="R63" s="106"/>
      <c r="S63" s="11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4" s="91" customFormat="1" ht="57.75" customHeight="1">
      <c r="A64" s="92" t="s">
        <v>312</v>
      </c>
      <c r="B64" s="93" t="s">
        <v>313</v>
      </c>
      <c r="C64" s="94">
        <f>"https://connectedautomateddriving.eu/eucad2019/"</f>
        <v>0</v>
      </c>
      <c r="D64" s="197" t="s">
        <v>283</v>
      </c>
      <c r="E64" s="109" t="s">
        <v>314</v>
      </c>
      <c r="F64" s="197" t="s">
        <v>315</v>
      </c>
      <c r="G64" s="96" t="s">
        <v>316</v>
      </c>
      <c r="H64" s="97"/>
      <c r="I64" s="98"/>
      <c r="J64" s="112"/>
      <c r="K64" s="100">
        <f>"Contact Page:  https://connectedautomateddriving.eu/contact-us/"</f>
        <v>0</v>
      </c>
      <c r="L64" s="121"/>
      <c r="M64" s="123"/>
      <c r="N64" s="116"/>
      <c r="O64" s="104" t="s">
        <v>258</v>
      </c>
      <c r="P64" s="197" t="s">
        <v>259</v>
      </c>
      <c r="Q64" s="105" t="s">
        <v>72</v>
      </c>
      <c r="R64" s="115" t="s">
        <v>73</v>
      </c>
      <c r="S64" s="11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19" s="91" customFormat="1" ht="57.75" customHeight="1">
      <c r="A65" s="92" t="s">
        <v>317</v>
      </c>
      <c r="B65" s="93" t="s">
        <v>318</v>
      </c>
      <c r="C65" s="94">
        <f>"https://www.sae.org/learn/content/c1602/"</f>
        <v>0</v>
      </c>
      <c r="D65" s="95" t="s">
        <v>76</v>
      </c>
      <c r="E65" s="109" t="s">
        <v>319</v>
      </c>
      <c r="F65" s="95" t="s">
        <v>320</v>
      </c>
      <c r="G65" s="96" t="s">
        <v>321</v>
      </c>
      <c r="H65" s="97"/>
      <c r="I65" s="98"/>
      <c r="J65" s="99"/>
      <c r="K65" s="100"/>
      <c r="L65" s="121" t="s">
        <v>322</v>
      </c>
      <c r="M65" s="123" t="s">
        <v>144</v>
      </c>
      <c r="N65" s="116">
        <f>"Instructor:  Eric Timmis"</f>
        <v>0</v>
      </c>
      <c r="O65" s="104" t="s">
        <v>83</v>
      </c>
      <c r="P65" s="95">
        <f>"https://www.sae.org/learn/professional-development"</f>
        <v>0</v>
      </c>
      <c r="Q65" s="105" t="s">
        <v>72</v>
      </c>
      <c r="R65" s="115" t="s">
        <v>73</v>
      </c>
      <c r="S65" s="107"/>
    </row>
    <row r="66" spans="1:64" s="91" customFormat="1" ht="38.25" customHeight="1">
      <c r="A66" s="175" t="s">
        <v>323</v>
      </c>
      <c r="B66" s="176" t="s">
        <v>324</v>
      </c>
      <c r="C66" s="177">
        <f>"https://www.sae.org/attend/government-industry/"</f>
        <v>0</v>
      </c>
      <c r="D66" s="95" t="s">
        <v>66</v>
      </c>
      <c r="E66" s="109" t="s">
        <v>325</v>
      </c>
      <c r="F66" s="95" t="s">
        <v>326</v>
      </c>
      <c r="G66" s="178" t="s">
        <v>327</v>
      </c>
      <c r="H66" s="179"/>
      <c r="I66" s="180"/>
      <c r="J66" s="181"/>
      <c r="K66" s="182">
        <f>"https://www.sae.org/attend/government-industry/contact"</f>
        <v>0</v>
      </c>
      <c r="L66" s="113">
        <f>"Overlaps the Washington Auto Show:  https://www.washingtonautoshow.com/"</f>
        <v>0</v>
      </c>
      <c r="M66" s="123"/>
      <c r="N66" s="116"/>
      <c r="O66" s="183" t="s">
        <v>53</v>
      </c>
      <c r="P66" s="184">
        <f>"https://www.sae.org/attend/"</f>
        <v>0</v>
      </c>
      <c r="Q66" s="185" t="s">
        <v>72</v>
      </c>
      <c r="R66" s="115" t="s">
        <v>73</v>
      </c>
      <c r="S66" s="11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s="91" customFormat="1" ht="38.25" customHeight="1">
      <c r="A67" s="92" t="s">
        <v>328</v>
      </c>
      <c r="B67" s="93" t="s">
        <v>329</v>
      </c>
      <c r="C67" s="94">
        <f>"http://transportationcamp.org/events/ithaca2019/"</f>
        <v>0</v>
      </c>
      <c r="D67" s="95" t="s">
        <v>330</v>
      </c>
      <c r="E67" s="109" t="s">
        <v>331</v>
      </c>
      <c r="F67" s="95" t="s">
        <v>61</v>
      </c>
      <c r="G67" s="96" t="s">
        <v>332</v>
      </c>
      <c r="H67" s="97"/>
      <c r="I67" s="98"/>
      <c r="J67" s="99"/>
      <c r="K67" s="189">
        <f>"Series link:  http://transportationcamp.org/"</f>
        <v>0</v>
      </c>
      <c r="L67" s="101">
        <f>"Essential guide:  http://transportationcamp.org/2011/02/how-transportationcamp-works-the-essential-guide/"</f>
        <v>0</v>
      </c>
      <c r="M67" s="101"/>
      <c r="N67" s="103"/>
      <c r="O67" s="104"/>
      <c r="P67" s="95"/>
      <c r="Q67" s="105" t="s">
        <v>54</v>
      </c>
      <c r="R67" s="106" t="s">
        <v>63</v>
      </c>
      <c r="S67" s="11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38.25" customHeight="1">
      <c r="A68" s="92" t="s">
        <v>333</v>
      </c>
      <c r="B68" s="93" t="s">
        <v>334</v>
      </c>
      <c r="C68" s="186">
        <f>"http://ieeesyscon.org/"</f>
        <v>0</v>
      </c>
      <c r="D68" s="95" t="s">
        <v>335</v>
      </c>
      <c r="E68" s="109" t="s">
        <v>336</v>
      </c>
      <c r="F68" s="95" t="s">
        <v>337</v>
      </c>
      <c r="G68" s="96" t="s">
        <v>338</v>
      </c>
      <c r="H68" s="97"/>
      <c r="I68" s="98"/>
      <c r="J68" s="112"/>
      <c r="K68" s="100">
        <f>"http://ieeesyscon.org/contact"</f>
        <v>0</v>
      </c>
      <c r="L68" s="201">
        <f>"Special Sessions:  http://ieeesyscon.org/pages/special-session-tutorial-proposals"</f>
        <v>0</v>
      </c>
      <c r="M68" s="123"/>
      <c r="N68" s="116" t="s">
        <v>339</v>
      </c>
      <c r="O68" s="104" t="s">
        <v>340</v>
      </c>
      <c r="P68" s="95">
        <f>"https://www.ieeesystemscouncil.org/pages/conferences\"</f>
        <v>0</v>
      </c>
      <c r="Q68" s="105" t="s">
        <v>72</v>
      </c>
      <c r="R68" s="115" t="s">
        <v>73</v>
      </c>
      <c r="S68" s="11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ht="76.5" customHeight="1">
      <c r="A69" s="92"/>
      <c r="B69" s="93"/>
      <c r="C69" s="186"/>
      <c r="D69" s="95"/>
      <c r="E69" s="109"/>
      <c r="F69" s="95"/>
      <c r="G69" s="96"/>
      <c r="H69" s="97"/>
      <c r="I69" s="98"/>
      <c r="J69" s="112"/>
      <c r="K69" s="100">
        <f>"Subscribe to newsletter:  https://conferencecatalysts.us7.list-manage.com/subscribe?u=a56289c418698825973a992ba&amp;id=41672d45ad"</f>
        <v>0</v>
      </c>
      <c r="L69" s="113">
        <f>"Papers:  http://www.ieeesyscon.org/sites/2019.ieeesyscon.org/files/documents/call-docs/syscon2019-cfp-web_05.pdf"</f>
        <v>0</v>
      </c>
      <c r="M69" s="123"/>
      <c r="N69" s="116">
        <f>"Initial Manuscript: 2018/11/16"</f>
        <v>0</v>
      </c>
      <c r="O69" s="104"/>
      <c r="P69" s="95"/>
      <c r="Q69" s="105"/>
      <c r="R69" s="115"/>
      <c r="S69" s="11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s="91" customFormat="1" ht="26.25" customHeight="1">
      <c r="A70" s="124" t="s">
        <v>341</v>
      </c>
      <c r="B70" s="124" t="s">
        <v>342</v>
      </c>
      <c r="C70" s="202">
        <f>"https://www.sae.org/learn/content/acad06/"</f>
        <v>0</v>
      </c>
      <c r="D70" s="202" t="s">
        <v>76</v>
      </c>
      <c r="E70" s="128" t="s">
        <v>343</v>
      </c>
      <c r="F70" s="155" t="s">
        <v>344</v>
      </c>
      <c r="G70" s="203" t="s">
        <v>345</v>
      </c>
      <c r="H70" s="130"/>
      <c r="I70" s="98"/>
      <c r="J70" s="112"/>
      <c r="K70" s="154"/>
      <c r="L70" s="121" t="s">
        <v>346</v>
      </c>
      <c r="M70" s="122" t="s">
        <v>347</v>
      </c>
      <c r="N70" s="136" t="s">
        <v>348</v>
      </c>
      <c r="O70" s="104" t="s">
        <v>83</v>
      </c>
      <c r="P70" s="95">
        <f>"https://www.sae.org/learn/professional-development"</f>
        <v>0</v>
      </c>
      <c r="Q70" s="105" t="s">
        <v>72</v>
      </c>
      <c r="R70" s="115" t="s">
        <v>73</v>
      </c>
      <c r="S70" s="11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s="91" customFormat="1" ht="26.25" customHeight="1">
      <c r="A71" s="124"/>
      <c r="B71" s="124"/>
      <c r="C71" s="202"/>
      <c r="D71" s="202"/>
      <c r="E71" s="202"/>
      <c r="F71" s="155"/>
      <c r="G71" s="203"/>
      <c r="H71" s="130"/>
      <c r="I71" s="98"/>
      <c r="J71" s="112"/>
      <c r="K71" s="154"/>
      <c r="L71" s="121" t="s">
        <v>349</v>
      </c>
      <c r="M71" s="121"/>
      <c r="N71" s="121"/>
      <c r="O71" s="104"/>
      <c r="P71" s="95"/>
      <c r="Q71" s="105"/>
      <c r="R71" s="115"/>
      <c r="S71" s="11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ht="32.25" customHeight="1">
      <c r="A72" s="92" t="s">
        <v>350</v>
      </c>
      <c r="B72" s="93" t="s">
        <v>351</v>
      </c>
      <c r="C72" s="186">
        <f>"https://www.sae.org/attend/wcx/"</f>
        <v>0</v>
      </c>
      <c r="D72" s="95" t="s">
        <v>352</v>
      </c>
      <c r="E72" s="109" t="s">
        <v>353</v>
      </c>
      <c r="F72" s="95" t="s">
        <v>354</v>
      </c>
      <c r="G72" s="96" t="s">
        <v>355</v>
      </c>
      <c r="H72" s="97"/>
      <c r="I72" s="98"/>
      <c r="J72" s="112"/>
      <c r="K72" s="204">
        <f>"http://wcx19.org/contact-us/ (Dead Link)"</f>
        <v>0</v>
      </c>
      <c r="L72" s="113">
        <f>"http://wcx19.org/wp-content/uploads/2018/05/180518_WCX_19_call_for_papers.pdf"</f>
        <v>0</v>
      </c>
      <c r="M72" s="123"/>
      <c r="N72" s="116" t="s">
        <v>356</v>
      </c>
      <c r="O72" s="104" t="s">
        <v>53</v>
      </c>
      <c r="P72" s="95">
        <f>"https://www.sae.org/attend/"</f>
        <v>0</v>
      </c>
      <c r="Q72" s="105" t="s">
        <v>54</v>
      </c>
      <c r="R72" s="106" t="s">
        <v>55</v>
      </c>
      <c r="S72" s="11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s="91" customFormat="1" ht="53.25" customHeight="1">
      <c r="A73" s="92"/>
      <c r="B73" s="93"/>
      <c r="C73" s="186"/>
      <c r="D73" s="95"/>
      <c r="E73" s="95"/>
      <c r="F73" s="95" t="s">
        <v>357</v>
      </c>
      <c r="G73" s="96"/>
      <c r="H73" s="97"/>
      <c r="I73" s="98"/>
      <c r="J73" s="112"/>
      <c r="K73" s="100">
        <f>"Nori Fought:  mailto:nori.fought@sae.org"</f>
        <v>0</v>
      </c>
      <c r="L73" s="113">
        <f>"SAE Connect2Car&amp;trade; at WCX, on 2019/04/11:  https://www.sae.org/attend/wcx/experience/connected-vehicle-challenge"</f>
        <v>0</v>
      </c>
      <c r="M73" s="123">
        <f>"hellip; wants groundbreaking, customer-focused and scalable ideas."</f>
        <v>0</v>
      </c>
      <c r="N73" s="116" t="s">
        <v>358</v>
      </c>
      <c r="O73" s="104"/>
      <c r="P73" s="95"/>
      <c r="Q73" s="105"/>
      <c r="R73" s="106"/>
      <c r="S73" s="11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s="91" customFormat="1" ht="38.25" customHeight="1">
      <c r="A74" s="205" t="s">
        <v>359</v>
      </c>
      <c r="B74" s="206" t="s">
        <v>360</v>
      </c>
      <c r="C74" s="207">
        <f>"http://www.intertraffic.com/en/istanbul/"</f>
        <v>0</v>
      </c>
      <c r="D74" s="155" t="s">
        <v>361</v>
      </c>
      <c r="E74" s="208" t="s">
        <v>362</v>
      </c>
      <c r="F74" s="155" t="s">
        <v>363</v>
      </c>
      <c r="G74" s="209" t="s">
        <v>364</v>
      </c>
      <c r="H74" s="210"/>
      <c r="I74" s="211"/>
      <c r="J74" s="212"/>
      <c r="K74" s="213">
        <f>"https://www.intertraffic.com/contact/"</f>
        <v>0</v>
      </c>
      <c r="L74" s="214">
        <f>"Exhibitor's info: https://www.intertraffic.com/en/istanbul/exhibiting"</f>
        <v>0</v>
      </c>
      <c r="M74" s="123">
        <f>"ITSUP (for startups):  https://www.intertraffic.com/itsup"</f>
        <v>0</v>
      </c>
      <c r="N74" s="116"/>
      <c r="O74" s="211" t="s">
        <v>365</v>
      </c>
      <c r="P74" s="212">
        <f>"https://www.intertraffic.com/"</f>
        <v>0</v>
      </c>
      <c r="Q74" s="213" t="s">
        <v>72</v>
      </c>
      <c r="R74" s="215" t="s">
        <v>73</v>
      </c>
      <c r="S74" s="11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s="91" customFormat="1" ht="63.75" customHeight="1">
      <c r="A75" s="92" t="s">
        <v>232</v>
      </c>
      <c r="B75" s="93" t="s">
        <v>366</v>
      </c>
      <c r="C75" s="94">
        <f>"https://www.sae.org/learn/content/c1896/"</f>
        <v>0</v>
      </c>
      <c r="D75" s="95" t="s">
        <v>352</v>
      </c>
      <c r="E75" s="109" t="s">
        <v>367</v>
      </c>
      <c r="F75" s="95" t="s">
        <v>235</v>
      </c>
      <c r="G75" s="96" t="s">
        <v>236</v>
      </c>
      <c r="H75" s="97"/>
      <c r="I75" s="98"/>
      <c r="J75" s="99"/>
      <c r="K75" s="100"/>
      <c r="L75" s="121" t="s">
        <v>237</v>
      </c>
      <c r="M75" s="123" t="s">
        <v>238</v>
      </c>
      <c r="N75" s="116">
        <f>"Instructor: Rajeev Thakur"</f>
        <v>0</v>
      </c>
      <c r="O75" s="104" t="s">
        <v>83</v>
      </c>
      <c r="P75" s="95">
        <f>"https://www.sae.org/learn/professional-development"</f>
        <v>0</v>
      </c>
      <c r="Q75" s="105" t="s">
        <v>72</v>
      </c>
      <c r="R75" s="115" t="s">
        <v>73</v>
      </c>
      <c r="S75" s="11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s="91" customFormat="1" ht="38.25" customHeight="1">
      <c r="A76" s="216" t="s">
        <v>368</v>
      </c>
      <c r="B76" s="217" t="s">
        <v>369</v>
      </c>
      <c r="C76" s="218">
        <f>"https://icmim-ieee.org/index.html"</f>
        <v>0</v>
      </c>
      <c r="D76" s="155" t="s">
        <v>352</v>
      </c>
      <c r="E76" s="208" t="s">
        <v>370</v>
      </c>
      <c r="F76" s="155" t="s">
        <v>371</v>
      </c>
      <c r="G76" s="219">
        <f>"&amp;hellip; covers all key enabling technologies for intelligent mobility, &amp;hellip;"</f>
        <v>0</v>
      </c>
      <c r="H76" s="220"/>
      <c r="I76" s="149"/>
      <c r="J76" s="155"/>
      <c r="K76" s="189">
        <f>"https://icmim-ieee.org/contact-us.html"</f>
        <v>0</v>
      </c>
      <c r="L76" s="214">
        <f>"Technical Areas:  https://icmim-ieee.org/author-information/technical-areas.html"</f>
        <v>0</v>
      </c>
      <c r="M76" s="123">
        <f>"https://edas.info/newPaper.php?c=25515"</f>
        <v>0</v>
      </c>
      <c r="N76" s="103" t="s">
        <v>372</v>
      </c>
      <c r="O76" s="149" t="s">
        <v>373</v>
      </c>
      <c r="P76" s="155" t="s">
        <v>374</v>
      </c>
      <c r="Q76" s="189" t="s">
        <v>72</v>
      </c>
      <c r="R76" s="215" t="s">
        <v>73</v>
      </c>
      <c r="S76" s="11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s="91" customFormat="1" ht="43.5" customHeight="1">
      <c r="A77" s="216"/>
      <c r="B77" s="217"/>
      <c r="C77" s="218">
        <f>"General Chairs&amp;rsquo; Message:  https://icmim-ieee.org/about.html"</f>
        <v>0</v>
      </c>
      <c r="D77" s="155"/>
      <c r="E77" s="155"/>
      <c r="F77" s="155"/>
      <c r="G77" s="219"/>
      <c r="H77" s="220"/>
      <c r="I77" s="149"/>
      <c r="J77" s="155"/>
      <c r="K77" s="189"/>
      <c r="L77" s="214">
        <f>"Author information:  https://icmim-ieee.org/author-information.html"</f>
        <v>0</v>
      </c>
      <c r="M77" s="123"/>
      <c r="N77" s="103"/>
      <c r="O77" s="149"/>
      <c r="P77" s="155"/>
      <c r="Q77" s="189"/>
      <c r="R77" s="215"/>
      <c r="S77" s="11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s="91" customFormat="1" ht="54.75" customHeight="1">
      <c r="A78" s="216" t="s">
        <v>375</v>
      </c>
      <c r="B78" s="217" t="s">
        <v>376</v>
      </c>
      <c r="C78" s="218">
        <f>"https://register.gotowebinar.com/register/7552487493722757633"</f>
        <v>0</v>
      </c>
      <c r="D78" s="155"/>
      <c r="E78" s="208" t="s">
        <v>377</v>
      </c>
      <c r="F78" s="155" t="s">
        <v>378</v>
      </c>
      <c r="G78" s="221" t="s">
        <v>379</v>
      </c>
      <c r="H78" s="222" t="s">
        <v>380</v>
      </c>
      <c r="I78" s="149" t="s">
        <v>381</v>
      </c>
      <c r="J78" s="155"/>
      <c r="K78" s="189">
        <f>"mailto:eric-cheng.cheng@polyu.edu.hk"</f>
        <v>0</v>
      </c>
      <c r="L78" s="223"/>
      <c r="M78" s="122"/>
      <c r="N78" s="103"/>
      <c r="O78" s="149" t="s">
        <v>183</v>
      </c>
      <c r="P78" s="155">
        <f>"https://tec.ieee.org/education/webinars/"</f>
        <v>0</v>
      </c>
      <c r="Q78" s="189" t="s">
        <v>72</v>
      </c>
      <c r="R78" s="215" t="s">
        <v>73</v>
      </c>
      <c r="S78" s="11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26.25" customHeight="1">
      <c r="A79" s="92" t="s">
        <v>382</v>
      </c>
      <c r="B79" s="93" t="s">
        <v>383</v>
      </c>
      <c r="C79" s="224" t="s">
        <v>384</v>
      </c>
      <c r="D79" s="95" t="s">
        <v>385</v>
      </c>
      <c r="E79" s="109" t="s">
        <v>386</v>
      </c>
      <c r="F79" s="95" t="s">
        <v>387</v>
      </c>
      <c r="G79" s="96" t="s">
        <v>388</v>
      </c>
      <c r="H79" s="97"/>
      <c r="I79" s="98"/>
      <c r="J79" s="112"/>
      <c r="K79" s="154" t="s">
        <v>389</v>
      </c>
      <c r="L79" s="168">
        <f>"https://www.actexpo.com/abstracts"</f>
        <v>0</v>
      </c>
      <c r="M79" s="169">
        <f>"mailto:abstracts@actexpo.com"</f>
        <v>0</v>
      </c>
      <c r="N79" s="170" t="s">
        <v>390</v>
      </c>
      <c r="O79" s="225" t="s">
        <v>391</v>
      </c>
      <c r="P79" s="157" t="s">
        <v>392</v>
      </c>
      <c r="Q79" s="105" t="s">
        <v>54</v>
      </c>
      <c r="R79" s="106" t="s">
        <v>55</v>
      </c>
      <c r="S79" s="11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64" ht="26.25" customHeight="1">
      <c r="A80" s="92"/>
      <c r="B80" s="93"/>
      <c r="C80" s="224"/>
      <c r="D80" s="95"/>
      <c r="E80" s="109"/>
      <c r="F80" s="95"/>
      <c r="G80" s="96"/>
      <c r="H80" s="97"/>
      <c r="I80" s="98"/>
      <c r="J80" s="112"/>
      <c r="K80" s="154"/>
      <c r="L80" s="226">
        <f>"News:  https://www.act-news.com/"</f>
        <v>0</v>
      </c>
      <c r="M80" s="226"/>
      <c r="N80" s="116"/>
      <c r="O80" s="225"/>
      <c r="P80" s="157"/>
      <c r="Q80" s="105"/>
      <c r="R80" s="106"/>
      <c r="S80" s="11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26.25" customHeight="1">
      <c r="A81" s="92"/>
      <c r="B81" s="93"/>
      <c r="C81" s="224"/>
      <c r="D81" s="95"/>
      <c r="E81" s="109"/>
      <c r="F81" s="95"/>
      <c r="G81" s="96"/>
      <c r="H81" s="97"/>
      <c r="I81" s="98"/>
      <c r="J81" s="112"/>
      <c r="K81" s="154"/>
      <c r="L81" s="226">
        <f>"Sign up for updates:  http://learn.actexpo.com/subscribe"</f>
        <v>0</v>
      </c>
      <c r="M81" s="226"/>
      <c r="N81" s="116"/>
      <c r="O81" s="225"/>
      <c r="P81" s="157"/>
      <c r="Q81" s="105"/>
      <c r="R81" s="106"/>
      <c r="S81" s="11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21.75" customHeight="1">
      <c r="A82" s="92"/>
      <c r="B82" s="93"/>
      <c r="C82" s="224"/>
      <c r="D82" s="95"/>
      <c r="E82" s="109" t="s">
        <v>393</v>
      </c>
      <c r="F82" s="95"/>
      <c r="G82" s="96"/>
      <c r="H82" s="97"/>
      <c r="I82" s="98"/>
      <c r="J82" s="112"/>
      <c r="K82" s="154"/>
      <c r="L82" s="226">
        <f>"To get Brochure:  http://learn.actexpo.com/eventoverview"</f>
        <v>0</v>
      </c>
      <c r="M82" s="226"/>
      <c r="N82" s="116"/>
      <c r="O82" s="225"/>
      <c r="P82" s="157"/>
      <c r="Q82" s="105"/>
      <c r="R82" s="106"/>
      <c r="S82" s="11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3" spans="1:64" ht="21.75" customHeight="1">
      <c r="A83" s="92"/>
      <c r="B83" s="93"/>
      <c r="C83" s="224"/>
      <c r="D83" s="95"/>
      <c r="E83" s="109"/>
      <c r="F83" s="95"/>
      <c r="G83" s="96"/>
      <c r="H83" s="97"/>
      <c r="I83" s="98"/>
      <c r="J83" s="112"/>
      <c r="K83" s="154"/>
      <c r="L83" s="226">
        <f>"Agenda:  http://www.actexpo.com/agenda"</f>
        <v>0</v>
      </c>
      <c r="M83" s="226"/>
      <c r="N83" s="116"/>
      <c r="O83" s="225"/>
      <c r="P83" s="157"/>
      <c r="Q83" s="105"/>
      <c r="R83" s="106"/>
      <c r="S83" s="11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4" spans="1:64" ht="21.75" customHeight="1">
      <c r="A84" s="92"/>
      <c r="B84" s="93"/>
      <c r="C84" s="224"/>
      <c r="D84" s="95"/>
      <c r="E84" s="109"/>
      <c r="F84" s="95"/>
      <c r="G84" s="96"/>
      <c r="H84" s="97"/>
      <c r="I84" s="98"/>
      <c r="J84" s="112"/>
      <c r="K84" s="154"/>
      <c r="L84" s="226">
        <f>"Agenda Track:  https://www.actexpo.com/agenda-track"</f>
        <v>0</v>
      </c>
      <c r="M84" s="226"/>
      <c r="N84" s="116"/>
      <c r="O84" s="225"/>
      <c r="P84" s="157"/>
      <c r="Q84" s="105"/>
      <c r="R84" s="106"/>
      <c r="S84" s="11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</row>
    <row r="85" spans="1:64" ht="26.25" customHeight="1">
      <c r="A85" s="92"/>
      <c r="B85" s="93"/>
      <c r="C85" s="224"/>
      <c r="D85" s="95"/>
      <c r="E85" s="109" t="s">
        <v>394</v>
      </c>
      <c r="F85" s="95"/>
      <c r="G85" s="96"/>
      <c r="H85" s="97"/>
      <c r="I85" s="98"/>
      <c r="J85" s="112"/>
      <c r="K85" s="154"/>
      <c r="L85" s="227">
        <f>"Exhibition Hall:  https://www.actexpo.com/expohall"</f>
        <v>0</v>
      </c>
      <c r="M85" s="227"/>
      <c r="N85" s="123"/>
      <c r="O85" s="225"/>
      <c r="P85" s="157"/>
      <c r="Q85" s="105"/>
      <c r="R85" s="106"/>
      <c r="S85" s="11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6" spans="1:64" ht="26.25" customHeight="1">
      <c r="A86" s="92"/>
      <c r="B86" s="93"/>
      <c r="C86" s="224"/>
      <c r="D86" s="95"/>
      <c r="E86" s="109"/>
      <c r="F86" s="95"/>
      <c r="G86" s="96"/>
      <c r="H86" s="97"/>
      <c r="I86" s="98"/>
      <c r="J86" s="112"/>
      <c r="K86" s="154"/>
      <c r="L86" s="226">
        <f>"Exhibitors&amp;rsquo; info:  http://www.actexpo.com/sponsor-exhibit-why"</f>
        <v>0</v>
      </c>
      <c r="M86" s="226"/>
      <c r="N86" s="228"/>
      <c r="O86" s="225"/>
      <c r="P86" s="157"/>
      <c r="Q86" s="105"/>
      <c r="R86" s="106"/>
      <c r="S86" s="11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</row>
    <row r="87" spans="1:64" s="91" customFormat="1" ht="51" customHeight="1">
      <c r="A87" s="92" t="s">
        <v>56</v>
      </c>
      <c r="B87" s="93" t="s">
        <v>395</v>
      </c>
      <c r="C87" s="94">
        <f>"http://transportationcamp.org/events/new-england-2019/"</f>
        <v>0</v>
      </c>
      <c r="D87" s="95" t="s">
        <v>396</v>
      </c>
      <c r="E87" s="109" t="s">
        <v>397</v>
      </c>
      <c r="F87" s="95" t="s">
        <v>61</v>
      </c>
      <c r="G87" s="96" t="s">
        <v>398</v>
      </c>
      <c r="H87" s="97"/>
      <c r="I87" s="98"/>
      <c r="J87" s="99"/>
      <c r="K87" s="189">
        <f>"Series link:  http://transportationcamp.org/"</f>
        <v>0</v>
      </c>
      <c r="L87" s="101">
        <f>"Essential guide:  http://transportationcamp.org/2011/02/how-transportationcamp-works-the-essential-guide/"</f>
        <v>0</v>
      </c>
      <c r="M87" s="101"/>
      <c r="N87" s="103"/>
      <c r="O87" s="104"/>
      <c r="P87" s="95"/>
      <c r="Q87" s="105" t="s">
        <v>54</v>
      </c>
      <c r="R87" s="106" t="s">
        <v>63</v>
      </c>
      <c r="S87" s="11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</row>
    <row r="88" spans="1:64" s="91" customFormat="1" ht="51.75" customHeight="1">
      <c r="A88" s="216" t="s">
        <v>399</v>
      </c>
      <c r="B88" s="217" t="s">
        <v>400</v>
      </c>
      <c r="C88" s="218">
        <f>"http://www.ieeevtc.org/vtc2019spring/"</f>
        <v>0</v>
      </c>
      <c r="D88" s="155" t="s">
        <v>401</v>
      </c>
      <c r="E88" s="208" t="s">
        <v>402</v>
      </c>
      <c r="F88" s="229" t="s">
        <v>403</v>
      </c>
      <c r="G88" s="230" t="s">
        <v>404</v>
      </c>
      <c r="H88" s="188"/>
      <c r="I88" s="149" t="s">
        <v>405</v>
      </c>
      <c r="J88" s="155"/>
      <c r="K88" s="189">
        <f>"http://www.ieeevtc.org/vtc2019spring/committees.php"</f>
        <v>0</v>
      </c>
      <c r="L88" s="231">
        <f>"http://www.ieeevtc.org/vtc2019spring/cfp.php"</f>
        <v>0</v>
      </c>
      <c r="M88" s="123">
        <f>"Track Descriptions:  http://www.ieeevtc.org/vtc2019spring/tracks.php"</f>
        <v>0</v>
      </c>
      <c r="N88" s="116">
        <f>"Five-page paper due:  2018/10/29 extended"</f>
        <v>0</v>
      </c>
      <c r="O88" s="149" t="s">
        <v>406</v>
      </c>
      <c r="P88" s="155" t="s">
        <v>407</v>
      </c>
      <c r="Q88" s="189" t="s">
        <v>72</v>
      </c>
      <c r="R88" s="215" t="s">
        <v>73</v>
      </c>
      <c r="S88" s="232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</row>
    <row r="89" spans="1:64" s="91" customFormat="1" ht="84.75" customHeight="1">
      <c r="A89" s="216"/>
      <c r="B89" s="217"/>
      <c r="C89" s="218"/>
      <c r="D89" s="155"/>
      <c r="E89" s="208"/>
      <c r="F89" s="229"/>
      <c r="G89" s="230"/>
      <c r="H89" s="188"/>
      <c r="I89" s="149"/>
      <c r="J89" s="155"/>
      <c r="K89" s="189"/>
      <c r="L89" s="223">
        <f>"Workshop Proposals: http://www.ieeevtc.org/vtc2019spring/cfw.php"</f>
        <v>0</v>
      </c>
      <c r="M89" s="102">
        <f aca="true" t="shared" si="0" ref="M89:M90">"mailto:yusoff@mmu.edu.my"</f>
        <v>0</v>
      </c>
      <c r="N89" s="213">
        <f>"2018/11/16 extended"</f>
        <v>0</v>
      </c>
      <c r="O89" s="149"/>
      <c r="P89" s="155"/>
      <c r="Q89" s="189"/>
      <c r="R89" s="215"/>
      <c r="S89" s="232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</row>
    <row r="90" spans="1:64" s="91" customFormat="1" ht="46.5" customHeight="1">
      <c r="A90" s="216"/>
      <c r="B90" s="217"/>
      <c r="C90" s="218"/>
      <c r="D90" s="155"/>
      <c r="E90" s="208"/>
      <c r="F90" s="229"/>
      <c r="G90" s="230"/>
      <c r="H90" s="188"/>
      <c r="I90" s="149"/>
      <c r="J90" s="155"/>
      <c r="K90" s="189"/>
      <c r="L90" s="223">
        <f>"Workshop Papers:  http://www.ieeevtc.org/vtc2019spring/cfw.php"</f>
        <v>0</v>
      </c>
      <c r="M90" s="122">
        <f t="shared" si="0"/>
        <v>0</v>
      </c>
      <c r="N90" s="213" t="s">
        <v>408</v>
      </c>
      <c r="O90" s="149"/>
      <c r="P90" s="155"/>
      <c r="Q90" s="189"/>
      <c r="R90" s="215"/>
      <c r="S90" s="232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</row>
    <row r="91" spans="1:64" s="91" customFormat="1" ht="62.25" customHeight="1">
      <c r="A91" s="216"/>
      <c r="B91" s="217"/>
      <c r="C91" s="218"/>
      <c r="D91" s="155"/>
      <c r="E91" s="208"/>
      <c r="F91" s="229"/>
      <c r="G91" s="230"/>
      <c r="H91" s="188"/>
      <c r="I91" s="149"/>
      <c r="J91" s="155"/>
      <c r="K91" s="189"/>
      <c r="L91" s="214">
        <f>"Tutorials:  http://www.ieeevtc.org/vtc2019spring/cft.php"</f>
        <v>0</v>
      </c>
      <c r="M91" s="123">
        <f>"mailto:vtc2019spring_tutorials@ieeevtc.org?subject=VTC2019-Spring Tutorial Proposal: Brief description"</f>
        <v>0</v>
      </c>
      <c r="N91" s="213">
        <f>"Brief Descriptions due:  2018/10/15 extended"</f>
        <v>0</v>
      </c>
      <c r="O91" s="149"/>
      <c r="P91" s="155"/>
      <c r="Q91" s="189"/>
      <c r="R91" s="215"/>
      <c r="S91" s="232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</row>
    <row r="92" spans="1:64" s="91" customFormat="1" ht="44.25" customHeight="1">
      <c r="A92" s="216"/>
      <c r="B92" s="217"/>
      <c r="C92" s="218"/>
      <c r="D92" s="155"/>
      <c r="E92" s="208"/>
      <c r="F92" s="229"/>
      <c r="G92" s="230"/>
      <c r="H92" s="188"/>
      <c r="I92" s="149"/>
      <c r="J92" s="155"/>
      <c r="K92" s="189"/>
      <c r="L92" s="226">
        <f>"Recent Results:  https://vtc2019s-rr-wks.trackchair.com/"</f>
        <v>0</v>
      </c>
      <c r="M92" s="122" t="s">
        <v>409</v>
      </c>
      <c r="N92" s="122"/>
      <c r="O92" s="149"/>
      <c r="P92" s="155"/>
      <c r="Q92" s="189"/>
      <c r="R92" s="215"/>
      <c r="S92" s="11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</row>
    <row r="93" spans="1:64" ht="44.25" customHeight="1">
      <c r="A93" s="234" t="s">
        <v>410</v>
      </c>
      <c r="B93" s="235" t="s">
        <v>411</v>
      </c>
      <c r="C93" s="236">
        <f>"https://attend.ieee.org/cpsi-2019/"</f>
        <v>0</v>
      </c>
      <c r="D93" s="237" t="s">
        <v>412</v>
      </c>
      <c r="E93" s="238" t="s">
        <v>413</v>
      </c>
      <c r="F93" s="239"/>
      <c r="G93" s="240"/>
      <c r="H93" s="241"/>
      <c r="I93" s="242"/>
      <c r="J93" s="237"/>
      <c r="K93" s="243"/>
      <c r="L93" s="244"/>
      <c r="M93" s="245"/>
      <c r="N93" s="245"/>
      <c r="O93" s="242"/>
      <c r="P93" s="237"/>
      <c r="Q93" s="243"/>
      <c r="R93" s="246"/>
      <c r="S93" s="11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</row>
    <row r="94" spans="1:64" s="91" customFormat="1" ht="63.75" customHeight="1">
      <c r="A94" s="92" t="s">
        <v>137</v>
      </c>
      <c r="B94" s="93" t="s">
        <v>414</v>
      </c>
      <c r="C94" s="94">
        <f>"https://www.sae.org/learn/content/c1732/"</f>
        <v>0</v>
      </c>
      <c r="D94" s="95" t="s">
        <v>76</v>
      </c>
      <c r="E94" s="109" t="s">
        <v>415</v>
      </c>
      <c r="F94" s="95" t="s">
        <v>141</v>
      </c>
      <c r="G94" s="96" t="s">
        <v>142</v>
      </c>
      <c r="H94" s="97"/>
      <c r="I94" s="98"/>
      <c r="J94" s="99"/>
      <c r="K94" s="100"/>
      <c r="L94" s="121" t="s">
        <v>322</v>
      </c>
      <c r="M94" s="123" t="s">
        <v>144</v>
      </c>
      <c r="N94" s="116">
        <f aca="true" t="shared" si="1" ref="N94:N95">"Instructor: Dr. Mark Quarto"</f>
        <v>0</v>
      </c>
      <c r="O94" s="104" t="s">
        <v>83</v>
      </c>
      <c r="P94" s="95">
        <f aca="true" t="shared" si="2" ref="P94:P97">"https://www.sae.org/learn/professional-development"</f>
        <v>0</v>
      </c>
      <c r="Q94" s="105" t="s">
        <v>72</v>
      </c>
      <c r="R94" s="115" t="s">
        <v>73</v>
      </c>
      <c r="S94" s="11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</row>
    <row r="95" spans="1:64" s="91" customFormat="1" ht="63.75" customHeight="1">
      <c r="A95" s="92" t="s">
        <v>416</v>
      </c>
      <c r="B95" s="93" t="s">
        <v>417</v>
      </c>
      <c r="C95" s="94">
        <f>"https://www.sae.org/learn/content/c1504/"</f>
        <v>0</v>
      </c>
      <c r="D95" s="95" t="s">
        <v>76</v>
      </c>
      <c r="E95" s="109" t="s">
        <v>418</v>
      </c>
      <c r="F95" s="95" t="s">
        <v>141</v>
      </c>
      <c r="G95" s="96" t="s">
        <v>419</v>
      </c>
      <c r="H95" s="97"/>
      <c r="I95" s="98"/>
      <c r="J95" s="99"/>
      <c r="K95" s="100"/>
      <c r="L95" s="121" t="s">
        <v>420</v>
      </c>
      <c r="M95" s="123" t="s">
        <v>421</v>
      </c>
      <c r="N95" s="116">
        <f t="shared" si="1"/>
        <v>0</v>
      </c>
      <c r="O95" s="104" t="s">
        <v>83</v>
      </c>
      <c r="P95" s="95">
        <f t="shared" si="2"/>
        <v>0</v>
      </c>
      <c r="Q95" s="105" t="s">
        <v>72</v>
      </c>
      <c r="R95" s="115" t="s">
        <v>73</v>
      </c>
      <c r="S95" s="11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</row>
    <row r="96" spans="1:64" s="91" customFormat="1" ht="48.75" customHeight="1">
      <c r="A96" s="92" t="s">
        <v>422</v>
      </c>
      <c r="B96" s="93" t="s">
        <v>423</v>
      </c>
      <c r="C96" s="94">
        <f>"https://www.sae.org/learn/content/c0626/"</f>
        <v>0</v>
      </c>
      <c r="D96" s="95" t="s">
        <v>76</v>
      </c>
      <c r="E96" s="109" t="s">
        <v>424</v>
      </c>
      <c r="F96" s="95" t="s">
        <v>425</v>
      </c>
      <c r="G96" s="96" t="s">
        <v>426</v>
      </c>
      <c r="H96" s="97"/>
      <c r="I96" s="98"/>
      <c r="J96" s="112"/>
      <c r="K96" s="100"/>
      <c r="L96" s="226" t="s">
        <v>420</v>
      </c>
      <c r="M96" s="122" t="s">
        <v>238</v>
      </c>
      <c r="N96" s="247" t="s">
        <v>427</v>
      </c>
      <c r="O96" s="104" t="s">
        <v>83</v>
      </c>
      <c r="P96" s="95">
        <f t="shared" si="2"/>
        <v>0</v>
      </c>
      <c r="Q96" s="105" t="s">
        <v>72</v>
      </c>
      <c r="R96" s="115" t="s">
        <v>73</v>
      </c>
      <c r="S96" s="11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</row>
    <row r="97" spans="1:64" s="91" customFormat="1" ht="48.75" customHeight="1">
      <c r="A97" s="124" t="s">
        <v>428</v>
      </c>
      <c r="B97" s="124" t="s">
        <v>429</v>
      </c>
      <c r="C97" s="202">
        <f>"https://www.sae.org/learn/content/c1019/"</f>
        <v>0</v>
      </c>
      <c r="D97" s="202" t="s">
        <v>76</v>
      </c>
      <c r="E97" s="128" t="s">
        <v>430</v>
      </c>
      <c r="F97" s="95" t="s">
        <v>425</v>
      </c>
      <c r="G97" s="248" t="s">
        <v>431</v>
      </c>
      <c r="H97" s="249"/>
      <c r="I97" s="98"/>
      <c r="J97" s="112"/>
      <c r="K97" s="100"/>
      <c r="L97" s="250" t="s">
        <v>322</v>
      </c>
      <c r="M97" s="123" t="s">
        <v>144</v>
      </c>
      <c r="N97" s="247" t="s">
        <v>427</v>
      </c>
      <c r="O97" s="104" t="s">
        <v>83</v>
      </c>
      <c r="P97" s="95">
        <f t="shared" si="2"/>
        <v>0</v>
      </c>
      <c r="Q97" s="105" t="s">
        <v>72</v>
      </c>
      <c r="R97" s="115" t="s">
        <v>73</v>
      </c>
      <c r="S97" s="11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</row>
    <row r="98" spans="1:64" s="91" customFormat="1" ht="35.25" customHeight="1">
      <c r="A98" s="216" t="s">
        <v>432</v>
      </c>
      <c r="B98" s="217" t="s">
        <v>433</v>
      </c>
      <c r="C98" s="218">
        <f>"http://www.vehits.org/"</f>
        <v>0</v>
      </c>
      <c r="D98" s="155" t="s">
        <v>434</v>
      </c>
      <c r="E98" s="208" t="s">
        <v>435</v>
      </c>
      <c r="F98" s="155" t="s">
        <v>436</v>
      </c>
      <c r="G98" s="219" t="s">
        <v>437</v>
      </c>
      <c r="H98" s="220"/>
      <c r="I98" s="149"/>
      <c r="J98" s="155"/>
      <c r="K98" s="100">
        <f>"http://www.vehits.org/Contacts.aspx"</f>
        <v>0</v>
      </c>
      <c r="L98" s="190">
        <f>"Guidelines:  http://www.vehits.org/Guidelines.aspx"</f>
        <v>0</v>
      </c>
      <c r="M98" s="217">
        <f>"Submission login: https://www.insticc.org/primoris/DirectLink.aspx?idEvent=sfSUJX2Bs2I=&amp;roleName=AKC6/t1R9Gs=&amp;type=FNiX60z6Am0="</f>
        <v>0</v>
      </c>
      <c r="N98" s="103">
        <f>"Papers due:  2019/01/04 extended from  2018/12/10"</f>
        <v>0</v>
      </c>
      <c r="O98" s="211" t="s">
        <v>373</v>
      </c>
      <c r="P98" s="251">
        <f>"https://www.ieee-itss.org/"</f>
        <v>0</v>
      </c>
      <c r="Q98" s="252" t="s">
        <v>72</v>
      </c>
      <c r="R98" s="215" t="s">
        <v>73</v>
      </c>
      <c r="S98" s="11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</row>
    <row r="99" spans="1:64" s="91" customFormat="1" ht="24.75" customHeight="1">
      <c r="A99" s="216"/>
      <c r="B99" s="217"/>
      <c r="C99" s="218"/>
      <c r="D99" s="155"/>
      <c r="E99" s="155"/>
      <c r="F99" s="155"/>
      <c r="G99" s="219"/>
      <c r="H99" s="220"/>
      <c r="I99" s="149"/>
      <c r="J99" s="155"/>
      <c r="K99" s="100"/>
      <c r="L99" s="190">
        <f>"Templates:  http://www.vehits.org/Templates.aspx"</f>
        <v>0</v>
      </c>
      <c r="M99" s="217"/>
      <c r="N99" s="103"/>
      <c r="O99" s="211"/>
      <c r="P99" s="251"/>
      <c r="Q99" s="252"/>
      <c r="R99" s="215"/>
      <c r="S99" s="11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</row>
    <row r="100" spans="1:64" s="91" customFormat="1" ht="24.75" customHeight="1">
      <c r="A100" s="216"/>
      <c r="B100" s="217"/>
      <c r="C100" s="218"/>
      <c r="D100" s="155"/>
      <c r="E100" s="155"/>
      <c r="F100" s="155"/>
      <c r="G100" s="219">
        <f>"colocated with:  SmartGreens2019 (http://www.smartgreens.org/)"</f>
        <v>0</v>
      </c>
      <c r="H100" s="220"/>
      <c r="I100" s="149"/>
      <c r="J100" s="155"/>
      <c r="K100" s="100"/>
      <c r="L100" s="190">
        <f>"Glossary:  http://www.vehits.org/Glossary.aspx"</f>
        <v>0</v>
      </c>
      <c r="M100" s="217"/>
      <c r="N100" s="103"/>
      <c r="O100" s="211"/>
      <c r="P100" s="251"/>
      <c r="Q100" s="252"/>
      <c r="R100" s="215"/>
      <c r="S100" s="11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</row>
    <row r="101" spans="1:64" s="91" customFormat="1" ht="39" customHeight="1">
      <c r="A101" s="216"/>
      <c r="B101" s="217"/>
      <c r="C101" s="218"/>
      <c r="D101" s="155"/>
      <c r="E101" s="155"/>
      <c r="F101" s="155"/>
      <c r="G101" s="219"/>
      <c r="H101" s="220"/>
      <c r="I101" s="149"/>
      <c r="J101" s="155"/>
      <c r="K101" s="100"/>
      <c r="L101" s="190" t="s">
        <v>438</v>
      </c>
      <c r="M101" s="217"/>
      <c r="N101" s="103" t="s">
        <v>439</v>
      </c>
      <c r="O101" s="211"/>
      <c r="P101" s="251"/>
      <c r="Q101" s="252"/>
      <c r="R101" s="215"/>
      <c r="S101" s="11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</row>
    <row r="102" spans="1:64" s="91" customFormat="1" ht="50.25" customHeight="1">
      <c r="A102" s="92" t="s">
        <v>440</v>
      </c>
      <c r="B102" s="93" t="s">
        <v>441</v>
      </c>
      <c r="C102" s="94">
        <f>"https://svem.ebems.com/"</f>
        <v>0</v>
      </c>
      <c r="D102" s="95" t="s">
        <v>442</v>
      </c>
      <c r="E102" s="109" t="s">
        <v>435</v>
      </c>
      <c r="F102" s="95" t="s">
        <v>443</v>
      </c>
      <c r="G102" s="96" t="s">
        <v>444</v>
      </c>
      <c r="H102" s="97"/>
      <c r="I102" s="98"/>
      <c r="J102" s="112"/>
      <c r="K102" s="100">
        <f>"https://svem.ebems.com/contact-en.html"</f>
        <v>0</v>
      </c>
      <c r="L102" s="250">
        <f>"Exhibitors &amp;ndash; Reserve your booth:  https://svem.ebems.com/reserve/reserve-your-booth.html"</f>
        <v>0</v>
      </c>
      <c r="M102" s="123"/>
      <c r="N102" s="116"/>
      <c r="O102" s="104" t="s">
        <v>445</v>
      </c>
      <c r="P102" s="95">
        <f>"https://emc-mec.ca/event/"</f>
        <v>0</v>
      </c>
      <c r="Q102" s="105" t="s">
        <v>108</v>
      </c>
      <c r="R102" s="106" t="s">
        <v>55</v>
      </c>
      <c r="S102" s="11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</row>
    <row r="103" spans="1:64" s="91" customFormat="1" ht="50.25" customHeight="1">
      <c r="A103" s="92" t="s">
        <v>56</v>
      </c>
      <c r="B103" s="93" t="s">
        <v>446</v>
      </c>
      <c r="C103" s="94">
        <f>"http://transportationcamp.org/events/chicago2019/"</f>
        <v>0</v>
      </c>
      <c r="D103" s="95" t="s">
        <v>447</v>
      </c>
      <c r="E103" s="109" t="s">
        <v>448</v>
      </c>
      <c r="F103" s="95" t="s">
        <v>61</v>
      </c>
      <c r="G103" s="96"/>
      <c r="H103" s="97"/>
      <c r="I103" s="98"/>
      <c r="J103" s="99"/>
      <c r="K103" s="189">
        <f>"Series link:  http://transportationcamp.org/"</f>
        <v>0</v>
      </c>
      <c r="L103" s="101">
        <f>"Essential guide:  http://transportationcamp.org/2011/02/how-transportationcamp-works-the-essential-guide/"</f>
        <v>0</v>
      </c>
      <c r="M103" s="101"/>
      <c r="N103" s="103"/>
      <c r="O103" s="104"/>
      <c r="P103" s="95"/>
      <c r="Q103" s="105" t="s">
        <v>54</v>
      </c>
      <c r="R103" s="106" t="s">
        <v>63</v>
      </c>
      <c r="S103" s="11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</row>
    <row r="104" spans="1:64" s="91" customFormat="1" ht="48" customHeight="1">
      <c r="A104" s="92" t="s">
        <v>449</v>
      </c>
      <c r="B104" s="93" t="s">
        <v>450</v>
      </c>
      <c r="C104" s="186">
        <f>"http://emc-mec.ca/ev2019ve/"</f>
        <v>0</v>
      </c>
      <c r="D104" s="95" t="s">
        <v>451</v>
      </c>
      <c r="E104" s="208" t="s">
        <v>452</v>
      </c>
      <c r="F104" s="95" t="s">
        <v>453</v>
      </c>
      <c r="G104" s="96" t="s">
        <v>454</v>
      </c>
      <c r="H104" s="97"/>
      <c r="I104" s="98"/>
      <c r="J104" s="112"/>
      <c r="K104" s="100">
        <f>"https://emc-mec.ca/ev2019ve/contact-us/"</f>
        <v>0</v>
      </c>
      <c r="L104" s="101">
        <f>"Call for Abstracts:   https://emc-mec.ca/ev2019ve/presenters/"</f>
        <v>0</v>
      </c>
      <c r="M104" s="123"/>
      <c r="N104" s="116">
        <f>"Abstracts due:  2018/11/23"</f>
        <v>0</v>
      </c>
      <c r="O104" s="104" t="s">
        <v>445</v>
      </c>
      <c r="P104" s="95">
        <f>"https://emc-mec.ca/event/"</f>
        <v>0</v>
      </c>
      <c r="Q104" s="105" t="s">
        <v>54</v>
      </c>
      <c r="R104" s="106" t="s">
        <v>55</v>
      </c>
      <c r="S104" s="11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</row>
    <row r="105" spans="1:64" s="91" customFormat="1" ht="37.5" customHeight="1">
      <c r="A105" s="92"/>
      <c r="B105" s="93"/>
      <c r="C105" s="186"/>
      <c r="D105" s="95"/>
      <c r="E105" s="208"/>
      <c r="F105" s="208"/>
      <c r="G105" s="96"/>
      <c r="H105" s="97"/>
      <c r="I105" s="98"/>
      <c r="J105" s="112"/>
      <c r="K105" s="100"/>
      <c r="L105" s="121">
        <f>"Ride &amp; Drive:  https://emc-mec.ca/ev2019ve/ride-n-drive/"</f>
        <v>0</v>
      </c>
      <c r="M105" s="123" t="s">
        <v>455</v>
      </c>
      <c r="N105" s="116" t="s">
        <v>456</v>
      </c>
      <c r="O105" s="104"/>
      <c r="P105" s="95"/>
      <c r="Q105" s="105"/>
      <c r="R105" s="106"/>
      <c r="S105" s="11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</row>
    <row r="106" spans="1:64" s="91" customFormat="1" ht="26.25" customHeight="1">
      <c r="A106" s="92"/>
      <c r="B106" s="93"/>
      <c r="C106" s="186"/>
      <c r="D106" s="95"/>
      <c r="E106" s="208"/>
      <c r="F106" s="208"/>
      <c r="G106" s="96"/>
      <c r="H106" s="97"/>
      <c r="I106" s="98"/>
      <c r="J106" s="112"/>
      <c r="K106" s="100"/>
      <c r="L106" s="121">
        <f>"Exhibitor's info:  https://emc-mec.ca/ev2019ve/trade-show/"</f>
        <v>0</v>
      </c>
      <c r="M106" s="123"/>
      <c r="N106" s="116"/>
      <c r="O106" s="104"/>
      <c r="P106" s="95"/>
      <c r="Q106" s="105"/>
      <c r="R106" s="106"/>
      <c r="S106" s="11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</row>
    <row r="107" spans="1:64" s="91" customFormat="1" ht="38.25" customHeight="1">
      <c r="A107" s="175" t="s">
        <v>457</v>
      </c>
      <c r="B107" s="176" t="s">
        <v>458</v>
      </c>
      <c r="C107" s="177">
        <f>"http://www.evtechexpo.eu/"</f>
        <v>0</v>
      </c>
      <c r="D107" s="155" t="s">
        <v>459</v>
      </c>
      <c r="E107" s="253">
        <f>"2019/05/07 – 09"</f>
        <v>0</v>
      </c>
      <c r="F107" s="95" t="s">
        <v>460</v>
      </c>
      <c r="G107" s="254">
        <f>"Europe&amp;rsquo;s largest and fastest-growing trade fair and conference for H/EV and advanced battery technology"</f>
        <v>0</v>
      </c>
      <c r="H107" s="255"/>
      <c r="I107" s="180"/>
      <c r="J107" s="181"/>
      <c r="K107" s="256">
        <f>"http://www.evtechexpo.eu/information/contact-us"</f>
        <v>0</v>
      </c>
      <c r="L107" s="250">
        <f>"Exhibitors' info:  http://www.evtechexpo.eu/exhibit/"</f>
        <v>0</v>
      </c>
      <c r="M107" s="123" t="s">
        <v>461</v>
      </c>
      <c r="N107" s="116"/>
      <c r="O107" s="104" t="s">
        <v>114</v>
      </c>
      <c r="P107" s="197">
        <f>"http://evworld.com/calendar.cfm"</f>
        <v>0</v>
      </c>
      <c r="Q107" s="105" t="s">
        <v>54</v>
      </c>
      <c r="R107" s="115" t="s">
        <v>73</v>
      </c>
      <c r="S107" s="11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</row>
    <row r="108" spans="1:64" s="91" customFormat="1" ht="50.25" customHeight="1">
      <c r="A108" s="92" t="s">
        <v>462</v>
      </c>
      <c r="B108" s="93" t="s">
        <v>463</v>
      </c>
      <c r="C108" s="94">
        <f>"http://www.thebatteryshow.eu/"</f>
        <v>0</v>
      </c>
      <c r="D108" s="155"/>
      <c r="E108" s="253"/>
      <c r="F108" s="155" t="s">
        <v>464</v>
      </c>
      <c r="G108" s="254" t="s">
        <v>465</v>
      </c>
      <c r="H108" s="255"/>
      <c r="I108" s="98"/>
      <c r="J108" s="112"/>
      <c r="K108" s="100">
        <f>"http://www.thebatteryshow.eu/information/contact-us"</f>
        <v>0</v>
      </c>
      <c r="L108" s="121">
        <f>"Exhibitors' info:  http://www.thebatteryshow.eu/exhibit/"</f>
        <v>0</v>
      </c>
      <c r="M108" s="123" t="s">
        <v>466</v>
      </c>
      <c r="N108" s="116"/>
      <c r="O108" s="104"/>
      <c r="P108" s="197"/>
      <c r="Q108" s="105"/>
      <c r="R108" s="115"/>
      <c r="S108" s="11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</row>
    <row r="109" spans="1:64" ht="18.75" customHeight="1">
      <c r="A109" s="92" t="s">
        <v>467</v>
      </c>
      <c r="B109" s="95" t="s">
        <v>468</v>
      </c>
      <c r="C109" s="186">
        <f>"http://itec-ap2019.com/"</f>
        <v>0</v>
      </c>
      <c r="D109" s="95" t="s">
        <v>469</v>
      </c>
      <c r="E109" s="109" t="s">
        <v>470</v>
      </c>
      <c r="F109" s="95" t="s">
        <v>471</v>
      </c>
      <c r="G109" s="96" t="s">
        <v>472</v>
      </c>
      <c r="H109" s="97"/>
      <c r="I109" s="149" t="s">
        <v>473</v>
      </c>
      <c r="J109" s="257">
        <f>"+82 (0) 64-754-3657"</f>
        <v>0</v>
      </c>
      <c r="K109" s="100">
        <f>"mailto:itec.ap2019@gmail.com"</f>
        <v>0</v>
      </c>
      <c r="L109" s="258">
        <f>"http://itec-ap2017.com/showSubjectDominWebSite.do"</f>
        <v>0</v>
      </c>
      <c r="M109" s="259">
        <f>"Special Session proposals:  2017/01/31"</f>
        <v>0</v>
      </c>
      <c r="N109" s="259"/>
      <c r="O109" s="104" t="s">
        <v>474</v>
      </c>
      <c r="P109" s="95">
        <f>"http://tec.ieee.org/conferences-workshops"</f>
        <v>0</v>
      </c>
      <c r="Q109" s="105" t="s">
        <v>72</v>
      </c>
      <c r="R109" s="115" t="s">
        <v>73</v>
      </c>
      <c r="S109" s="11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</row>
    <row r="110" spans="1:64" ht="28.5" customHeight="1">
      <c r="A110" s="92"/>
      <c r="B110" s="95"/>
      <c r="C110" s="186"/>
      <c r="D110" s="95"/>
      <c r="E110" s="109"/>
      <c r="F110" s="95"/>
      <c r="G110" s="96"/>
      <c r="H110" s="97"/>
      <c r="I110" s="149"/>
      <c r="J110" s="257"/>
      <c r="K110" s="100"/>
      <c r="L110" s="258"/>
      <c r="M110" s="260">
        <f>"Paper Submission:  2019/03/27 re-extended from 02/13 and 02/27"</f>
        <v>0</v>
      </c>
      <c r="N110" s="260"/>
      <c r="O110" s="104"/>
      <c r="P110" s="95"/>
      <c r="Q110" s="105"/>
      <c r="R110" s="115"/>
      <c r="S110" s="11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</row>
    <row r="111" spans="1:64" ht="27" customHeight="1">
      <c r="A111" s="92"/>
      <c r="B111" s="95"/>
      <c r="C111" s="186"/>
      <c r="D111" s="95"/>
      <c r="E111" s="109"/>
      <c r="F111" s="95"/>
      <c r="G111" s="96"/>
      <c r="H111" s="97"/>
      <c r="I111" s="149"/>
      <c r="J111" s="257"/>
      <c r="K111" s="100"/>
      <c r="L111" s="258"/>
      <c r="M111" s="259">
        <f>"Tutorial proposals:  2017/04/30"</f>
        <v>0</v>
      </c>
      <c r="N111" s="259"/>
      <c r="O111" s="104"/>
      <c r="P111" s="95"/>
      <c r="Q111" s="105"/>
      <c r="R111" s="115"/>
      <c r="S111" s="11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</row>
    <row r="112" spans="1:64" s="91" customFormat="1" ht="36" customHeight="1">
      <c r="A112" s="92" t="s">
        <v>475</v>
      </c>
      <c r="B112" s="197" t="s">
        <v>476</v>
      </c>
      <c r="C112" s="186">
        <f>"http://www.ievexpo.org/eng/"</f>
        <v>0</v>
      </c>
      <c r="D112" s="95"/>
      <c r="E112" s="253" t="s">
        <v>477</v>
      </c>
      <c r="F112" s="197" t="s">
        <v>478</v>
      </c>
      <c r="G112" s="96" t="s">
        <v>479</v>
      </c>
      <c r="H112" s="97"/>
      <c r="I112" s="98" t="s">
        <v>480</v>
      </c>
      <c r="J112" s="112" t="s">
        <v>481</v>
      </c>
      <c r="K112" s="100">
        <f>"mailto:ieve@ievexpo.org"</f>
        <v>0</v>
      </c>
      <c r="L112" s="261"/>
      <c r="M112" s="262"/>
      <c r="N112" s="262"/>
      <c r="O112" s="104"/>
      <c r="P112" s="197"/>
      <c r="Q112" s="105" t="s">
        <v>72</v>
      </c>
      <c r="R112" s="115" t="s">
        <v>73</v>
      </c>
      <c r="S112" s="11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</row>
    <row r="113" spans="1:64" s="91" customFormat="1" ht="33.75" customHeight="1">
      <c r="A113" s="92"/>
      <c r="B113" s="197"/>
      <c r="C113" s="186"/>
      <c r="D113" s="95"/>
      <c r="E113" s="253"/>
      <c r="F113" s="197"/>
      <c r="G113" s="96"/>
      <c r="H113" s="97"/>
      <c r="I113" s="98"/>
      <c r="J113" s="112" t="s">
        <v>482</v>
      </c>
      <c r="K113" s="100"/>
      <c r="L113" s="261"/>
      <c r="M113" s="262"/>
      <c r="N113" s="262"/>
      <c r="O113" s="104"/>
      <c r="P113" s="197"/>
      <c r="Q113" s="105"/>
      <c r="R113" s="115"/>
      <c r="S113" s="11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</row>
    <row r="114" spans="1:64" s="91" customFormat="1" ht="40.5" customHeight="1">
      <c r="A114" s="92" t="s">
        <v>483</v>
      </c>
      <c r="B114" s="93" t="s">
        <v>484</v>
      </c>
      <c r="C114" s="186">
        <f>"https://event.webcasts.com/starthere.jsp?ei=1237509&amp;tp_key=c9b8472af5"</f>
        <v>0</v>
      </c>
      <c r="D114" s="95"/>
      <c r="E114" s="208" t="s">
        <v>485</v>
      </c>
      <c r="F114" s="95" t="s">
        <v>486</v>
      </c>
      <c r="G114" s="96" t="s">
        <v>487</v>
      </c>
      <c r="H114" s="153" t="s">
        <v>488</v>
      </c>
      <c r="I114" s="98"/>
      <c r="J114" s="112"/>
      <c r="K114" s="154"/>
      <c r="L114" s="121"/>
      <c r="M114" s="122"/>
      <c r="N114" s="103"/>
      <c r="O114" s="104" t="s">
        <v>53</v>
      </c>
      <c r="P114" s="95">
        <f>"https://www.sae.org/webcasts"</f>
        <v>0</v>
      </c>
      <c r="Q114" s="105" t="s">
        <v>72</v>
      </c>
      <c r="R114" s="115" t="s">
        <v>73</v>
      </c>
      <c r="S114" s="11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</row>
    <row r="115" spans="1:64" s="91" customFormat="1" ht="29.25" customHeight="1">
      <c r="A115" s="92"/>
      <c r="B115" s="93"/>
      <c r="C115" s="186"/>
      <c r="D115" s="95"/>
      <c r="E115" s="208"/>
      <c r="F115" s="95"/>
      <c r="G115" s="96"/>
      <c r="H115" s="153" t="s">
        <v>489</v>
      </c>
      <c r="I115" s="98"/>
      <c r="J115" s="112"/>
      <c r="K115" s="154"/>
      <c r="L115" s="121"/>
      <c r="M115" s="122"/>
      <c r="N115" s="103"/>
      <c r="O115" s="104"/>
      <c r="P115" s="95"/>
      <c r="Q115" s="105"/>
      <c r="R115" s="115"/>
      <c r="S115" s="11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</row>
    <row r="116" spans="1:64" s="91" customFormat="1" ht="19.5" customHeight="1">
      <c r="A116" s="92"/>
      <c r="B116" s="93"/>
      <c r="C116" s="186"/>
      <c r="D116" s="95"/>
      <c r="E116" s="208"/>
      <c r="F116" s="95"/>
      <c r="G116" s="96"/>
      <c r="H116" s="158" t="s">
        <v>490</v>
      </c>
      <c r="I116" s="98"/>
      <c r="J116" s="112"/>
      <c r="K116" s="154"/>
      <c r="L116" s="121"/>
      <c r="M116" s="122"/>
      <c r="N116" s="103"/>
      <c r="O116" s="104"/>
      <c r="P116" s="95"/>
      <c r="Q116" s="105"/>
      <c r="R116" s="115"/>
      <c r="S116" s="11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</row>
    <row r="117" spans="1:64" s="91" customFormat="1" ht="40.5" customHeight="1">
      <c r="A117" s="92" t="s">
        <v>56</v>
      </c>
      <c r="B117" s="93" t="s">
        <v>491</v>
      </c>
      <c r="C117" s="94" t="s">
        <v>492</v>
      </c>
      <c r="D117" s="95" t="s">
        <v>493</v>
      </c>
      <c r="E117" s="109" t="s">
        <v>494</v>
      </c>
      <c r="F117" s="95" t="s">
        <v>61</v>
      </c>
      <c r="G117" s="96" t="s">
        <v>495</v>
      </c>
      <c r="H117" s="97"/>
      <c r="I117" s="98"/>
      <c r="J117" s="99"/>
      <c r="K117" s="189">
        <f>"Series link:  http://transportationcamp.org/"</f>
        <v>0</v>
      </c>
      <c r="L117" s="101">
        <f>"Essential guide:  http://transportationcamp.org/2011/02/how-transportationcamp-works-the-essential-guide/"</f>
        <v>0</v>
      </c>
      <c r="M117" s="101"/>
      <c r="N117" s="103"/>
      <c r="O117" s="104"/>
      <c r="P117" s="95"/>
      <c r="Q117" s="105" t="s">
        <v>54</v>
      </c>
      <c r="R117" s="106" t="s">
        <v>63</v>
      </c>
      <c r="S117" s="11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</row>
    <row r="118" spans="1:64" s="91" customFormat="1" ht="45.75" customHeight="1">
      <c r="A118" s="92" t="s">
        <v>496</v>
      </c>
      <c r="B118" s="93" t="s">
        <v>497</v>
      </c>
      <c r="C118" s="186">
        <f>"https://event.webcasts.com/starthere.jsp?ei=1239389&amp;tp_key=b18b7bca4d"</f>
        <v>0</v>
      </c>
      <c r="D118" s="95"/>
      <c r="E118" s="109" t="s">
        <v>498</v>
      </c>
      <c r="F118" s="95" t="s">
        <v>499</v>
      </c>
      <c r="G118" s="96" t="s">
        <v>500</v>
      </c>
      <c r="H118" s="153" t="s">
        <v>501</v>
      </c>
      <c r="I118" s="98"/>
      <c r="J118" s="112"/>
      <c r="K118" s="154"/>
      <c r="L118" s="121"/>
      <c r="M118" s="122"/>
      <c r="N118" s="103"/>
      <c r="O118" s="104" t="s">
        <v>53</v>
      </c>
      <c r="P118" s="95">
        <f>"https://www.sae.org/webcasts"</f>
        <v>0</v>
      </c>
      <c r="Q118" s="105" t="s">
        <v>72</v>
      </c>
      <c r="R118" s="115" t="s">
        <v>73</v>
      </c>
      <c r="S118" s="11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</row>
    <row r="119" spans="1:64" s="91" customFormat="1" ht="19.5" customHeight="1">
      <c r="A119" s="92"/>
      <c r="B119" s="93"/>
      <c r="C119" s="186"/>
      <c r="D119" s="95"/>
      <c r="E119" s="109"/>
      <c r="F119" s="95"/>
      <c r="G119" s="96"/>
      <c r="H119" s="158" t="s">
        <v>502</v>
      </c>
      <c r="I119" s="98"/>
      <c r="J119" s="112"/>
      <c r="K119" s="154"/>
      <c r="L119" s="121"/>
      <c r="M119" s="122"/>
      <c r="N119" s="103"/>
      <c r="O119" s="104"/>
      <c r="P119" s="95"/>
      <c r="Q119" s="105"/>
      <c r="R119" s="115"/>
      <c r="S119" s="11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</row>
    <row r="120" spans="1:19" s="91" customFormat="1" ht="36" customHeight="1">
      <c r="A120" s="92" t="s">
        <v>503</v>
      </c>
      <c r="B120" s="95" t="s">
        <v>504</v>
      </c>
      <c r="C120" s="95">
        <f>"https://tmt.knect365.com/connected-vehicles/"</f>
        <v>0</v>
      </c>
      <c r="D120" s="95" t="s">
        <v>505</v>
      </c>
      <c r="E120" s="109" t="s">
        <v>506</v>
      </c>
      <c r="F120" s="95" t="s">
        <v>507</v>
      </c>
      <c r="G120" s="263" t="s">
        <v>508</v>
      </c>
      <c r="H120" s="97"/>
      <c r="I120" s="119"/>
      <c r="J120" s="257"/>
      <c r="K120" s="264">
        <f>"https://tmt.knect365.com/connected-vehicles/contact"</f>
        <v>0</v>
      </c>
      <c r="L120" s="101">
        <f>"https://get.knect365.com/connected-vehicles/2019-speaking-proposal/"</f>
        <v>0</v>
      </c>
      <c r="M120" s="122"/>
      <c r="N120" s="103" t="s">
        <v>509</v>
      </c>
      <c r="O120" s="265"/>
      <c r="P120" s="95"/>
      <c r="Q120" s="266" t="s">
        <v>72</v>
      </c>
      <c r="R120" s="267" t="s">
        <v>73</v>
      </c>
      <c r="S120" s="107"/>
    </row>
    <row r="121" spans="1:64" s="91" customFormat="1" ht="38.25" customHeight="1">
      <c r="A121" s="92"/>
      <c r="B121" s="95"/>
      <c r="C121" s="95"/>
      <c r="D121" s="95"/>
      <c r="E121" s="109"/>
      <c r="F121" s="95"/>
      <c r="G121" s="263">
        <f>"Agenda:  https://tmt.knect365.com/connected-vehicles/agenda"</f>
        <v>0</v>
      </c>
      <c r="H121" s="97"/>
      <c r="I121" s="119"/>
      <c r="J121" s="257"/>
      <c r="K121" s="264"/>
      <c r="L121" s="101"/>
      <c r="M121" s="122"/>
      <c r="N121" s="103"/>
      <c r="O121" s="265"/>
      <c r="P121" s="95"/>
      <c r="Q121" s="266"/>
      <c r="R121" s="267"/>
      <c r="S121" s="11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</row>
    <row r="122" spans="1:64" s="91" customFormat="1" ht="26.25" customHeight="1">
      <c r="A122" s="92"/>
      <c r="B122" s="95"/>
      <c r="C122" s="95"/>
      <c r="D122" s="95"/>
      <c r="E122" s="109"/>
      <c r="F122" s="95"/>
      <c r="G122" s="96" t="s">
        <v>510</v>
      </c>
      <c r="H122" s="97"/>
      <c r="I122" s="119"/>
      <c r="J122" s="257"/>
      <c r="K122" s="264"/>
      <c r="L122" s="101"/>
      <c r="M122" s="122"/>
      <c r="N122" s="103"/>
      <c r="O122" s="265"/>
      <c r="P122" s="95"/>
      <c r="Q122" s="266"/>
      <c r="R122" s="267"/>
      <c r="S122" s="11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</row>
    <row r="123" spans="1:64" s="91" customFormat="1" ht="65.25" customHeight="1">
      <c r="A123" s="92" t="s">
        <v>511</v>
      </c>
      <c r="B123" s="95" t="s">
        <v>512</v>
      </c>
      <c r="C123" s="95">
        <f>"https://teslasciencecenter.org/events/tscw-exhibit-at-international-museum-day/"</f>
        <v>0</v>
      </c>
      <c r="D123" s="95" t="s">
        <v>513</v>
      </c>
      <c r="E123" s="109" t="s">
        <v>514</v>
      </c>
      <c r="F123" s="95" t="s">
        <v>515</v>
      </c>
      <c r="G123" s="96" t="s">
        <v>516</v>
      </c>
      <c r="H123" s="97"/>
      <c r="I123" s="119"/>
      <c r="J123" s="268"/>
      <c r="K123" s="269"/>
      <c r="L123" s="101"/>
      <c r="M123" s="122"/>
      <c r="N123" s="103"/>
      <c r="O123" s="265" t="s">
        <v>209</v>
      </c>
      <c r="P123" s="95">
        <f>"https://teslasciencecenter.org/"</f>
        <v>0</v>
      </c>
      <c r="Q123" s="266" t="s">
        <v>108</v>
      </c>
      <c r="R123" s="270" t="s">
        <v>109</v>
      </c>
      <c r="S123" s="11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</row>
    <row r="124" spans="1:64" s="91" customFormat="1" ht="111.75" customHeight="1">
      <c r="A124" s="216" t="s">
        <v>517</v>
      </c>
      <c r="B124" s="217" t="s">
        <v>518</v>
      </c>
      <c r="C124" s="218">
        <f>"https://ieeemeetings.webex.com/mw3300/mywebex/default.do?nomenu=true&amp;siteurl=ieeemeetings&amp;service=6&amp;rnd=0.5595447965490189&amp;main_url=https%3A%2F%2Fieeemeetings.webex.com%2Fec3300%2Feventcenter%2Fevent%2FeventAction.do%3FtheAction%3Ddetail%26%26%26EMK%3D483"</f>
        <v>0</v>
      </c>
      <c r="D124" s="218"/>
      <c r="E124" s="208" t="s">
        <v>519</v>
      </c>
      <c r="F124" s="155" t="s">
        <v>520</v>
      </c>
      <c r="G124" s="221" t="s">
        <v>521</v>
      </c>
      <c r="H124" s="222" t="s">
        <v>522</v>
      </c>
      <c r="I124" s="149" t="s">
        <v>381</v>
      </c>
      <c r="J124" s="155"/>
      <c r="K124" s="189">
        <f>"mailto:eric-cheng.cheng@polyu.edu.hk"</f>
        <v>0</v>
      </c>
      <c r="L124" s="223"/>
      <c r="M124" s="122"/>
      <c r="N124" s="103"/>
      <c r="O124" s="149" t="s">
        <v>183</v>
      </c>
      <c r="P124" s="155">
        <f>"https://tec.ieee.org/education/webinars/"</f>
        <v>0</v>
      </c>
      <c r="Q124" s="189" t="s">
        <v>72</v>
      </c>
      <c r="R124" s="215" t="s">
        <v>73</v>
      </c>
      <c r="S124" s="11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</row>
    <row r="125" spans="1:64" s="91" customFormat="1" ht="40.5" customHeight="1">
      <c r="A125" s="92" t="s">
        <v>56</v>
      </c>
      <c r="B125" s="93" t="s">
        <v>523</v>
      </c>
      <c r="C125" s="126">
        <f>"http://transportationcamp.org/events/baltimore2019/"</f>
        <v>0</v>
      </c>
      <c r="D125" s="202" t="s">
        <v>524</v>
      </c>
      <c r="E125" s="128" t="s">
        <v>525</v>
      </c>
      <c r="F125" s="95" t="s">
        <v>61</v>
      </c>
      <c r="G125" s="129" t="s">
        <v>526</v>
      </c>
      <c r="H125" s="130"/>
      <c r="I125" s="98"/>
      <c r="J125" s="99"/>
      <c r="K125" s="189">
        <f>"Series link:  http://transportationcamp.org/"</f>
        <v>0</v>
      </c>
      <c r="L125" s="101">
        <f>"Essential guide:  http://transportationcamp.org/2011/02/how-transportationcamp-works-the-essential-guide/"</f>
        <v>0</v>
      </c>
      <c r="M125" s="101"/>
      <c r="N125" s="103"/>
      <c r="O125" s="104"/>
      <c r="P125" s="95"/>
      <c r="Q125" s="105" t="s">
        <v>54</v>
      </c>
      <c r="R125" s="106" t="s">
        <v>63</v>
      </c>
      <c r="S125" s="11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</row>
    <row r="126" spans="1:64" s="91" customFormat="1" ht="61.5" customHeight="1">
      <c r="A126" s="92" t="s">
        <v>527</v>
      </c>
      <c r="B126" s="93" t="s">
        <v>528</v>
      </c>
      <c r="C126" s="94">
        <f>"http://evs32.org/"</f>
        <v>0</v>
      </c>
      <c r="D126" s="95" t="s">
        <v>529</v>
      </c>
      <c r="E126" s="109" t="s">
        <v>530</v>
      </c>
      <c r="F126" s="95" t="s">
        <v>531</v>
      </c>
      <c r="G126" s="96" t="s">
        <v>532</v>
      </c>
      <c r="H126" s="97"/>
      <c r="I126" s="98"/>
      <c r="J126" s="112"/>
      <c r="K126" s="100"/>
      <c r="L126" s="113">
        <f>"Must register before submitting:  https://papers.evs32.org/"</f>
        <v>0</v>
      </c>
      <c r="M126" s="123"/>
      <c r="N126" s="116" t="s">
        <v>533</v>
      </c>
      <c r="O126" s="104" t="s">
        <v>445</v>
      </c>
      <c r="P126" s="95">
        <f>"https://emc-mec.ca/event/"</f>
        <v>0</v>
      </c>
      <c r="Q126" s="105" t="s">
        <v>54</v>
      </c>
      <c r="R126" s="115" t="s">
        <v>73</v>
      </c>
      <c r="S126" s="11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</row>
    <row r="127" spans="1:64" ht="26.25" customHeight="1">
      <c r="A127" s="92" t="s">
        <v>534</v>
      </c>
      <c r="B127" s="93" t="s">
        <v>535</v>
      </c>
      <c r="C127" s="186">
        <f>"Series page:  http://www.sbirroadtour.com/"</f>
        <v>0</v>
      </c>
      <c r="D127" s="95"/>
      <c r="E127" s="109" t="s">
        <v>536</v>
      </c>
      <c r="F127" s="95" t="s">
        <v>537</v>
      </c>
      <c r="G127" s="96" t="s">
        <v>538</v>
      </c>
      <c r="H127" s="97"/>
      <c r="I127" s="98"/>
      <c r="J127" s="268"/>
      <c r="K127" s="100"/>
      <c r="L127" s="271" t="s">
        <v>539</v>
      </c>
      <c r="M127" s="272" t="s">
        <v>540</v>
      </c>
      <c r="N127" s="273" t="s">
        <v>541</v>
      </c>
      <c r="O127" s="265" t="s">
        <v>542</v>
      </c>
      <c r="P127" s="95">
        <f>"https://www.sba.gov/"</f>
        <v>0</v>
      </c>
      <c r="Q127" s="266" t="s">
        <v>72</v>
      </c>
      <c r="R127" s="267" t="s">
        <v>73</v>
      </c>
      <c r="S127" s="11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</row>
    <row r="128" spans="1:64" ht="37.5" customHeight="1">
      <c r="A128" s="92"/>
      <c r="B128" s="93"/>
      <c r="C128" s="186"/>
      <c r="D128" s="95" t="s">
        <v>543</v>
      </c>
      <c r="E128" s="109" t="s">
        <v>544</v>
      </c>
      <c r="F128" s="95"/>
      <c r="G128" s="96"/>
      <c r="H128" s="97"/>
      <c r="I128" s="98" t="s">
        <v>545</v>
      </c>
      <c r="J128" s="268" t="s">
        <v>546</v>
      </c>
      <c r="K128" s="100">
        <f>"mailto:dpmoses@ou.edu"</f>
        <v>0</v>
      </c>
      <c r="L128" s="101">
        <f>"Oklahoma Catalyst Programs:  https://www.okcatalyst.com/"</f>
        <v>0</v>
      </c>
      <c r="M128" s="262">
        <f>"https://www.eventbrite.com/e/sbir-road-tour-okc-tickets-58385008131"</f>
        <v>0</v>
      </c>
      <c r="N128" s="103"/>
      <c r="O128" s="265"/>
      <c r="P128" s="95"/>
      <c r="Q128" s="266"/>
      <c r="R128" s="267"/>
      <c r="S128" s="11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</row>
    <row r="129" spans="1:64" ht="37.5" customHeight="1">
      <c r="A129" s="92"/>
      <c r="B129" s="93"/>
      <c r="C129" s="186"/>
      <c r="D129" s="95"/>
      <c r="E129" s="95"/>
      <c r="F129" s="95"/>
      <c r="G129" s="96"/>
      <c r="H129" s="97"/>
      <c r="I129" s="98"/>
      <c r="J129" s="268"/>
      <c r="K129" s="100"/>
      <c r="L129" s="101">
        <f>"Tom Love Innovation Hub:  http://www.ou.edu/innovationhub"</f>
        <v>0</v>
      </c>
      <c r="M129" s="262"/>
      <c r="N129" s="103"/>
      <c r="O129" s="265"/>
      <c r="P129" s="95"/>
      <c r="Q129" s="266"/>
      <c r="R129" s="267"/>
      <c r="S129" s="11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</row>
    <row r="130" spans="1:64" ht="52.5" customHeight="1">
      <c r="A130" s="92"/>
      <c r="B130" s="93"/>
      <c r="C130" s="186"/>
      <c r="D130" s="95" t="s">
        <v>547</v>
      </c>
      <c r="E130" s="95" t="s">
        <v>548</v>
      </c>
      <c r="F130" s="95"/>
      <c r="G130" s="96"/>
      <c r="H130" s="97"/>
      <c r="I130" s="98" t="s">
        <v>549</v>
      </c>
      <c r="J130" s="268" t="s">
        <v>550</v>
      </c>
      <c r="K130" s="100">
        <f>"mailto:sbir@wichita.edu "</f>
        <v>0</v>
      </c>
      <c r="L130" s="261">
        <f>"Wichita State University:  https://www.wichita.edu/"</f>
        <v>0</v>
      </c>
      <c r="M130" s="262">
        <f>"https://www.wichita.edu/research/WSUInitiatives/sbir-road-tour/kansasroadtour.php"</f>
        <v>0</v>
      </c>
      <c r="N130" s="103">
        <f>"https://secure.touchnet.com/C21797_ustores/web/store_main.jsp?STOREID=85&amp;SINGLESTORE=true"</f>
        <v>0</v>
      </c>
      <c r="O130" s="265"/>
      <c r="P130" s="95"/>
      <c r="Q130" s="266"/>
      <c r="R130" s="267"/>
      <c r="S130" s="11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</row>
    <row r="131" spans="1:64" ht="83.25" customHeight="1">
      <c r="A131" s="92"/>
      <c r="B131" s="93"/>
      <c r="C131" s="186"/>
      <c r="D131" s="95"/>
      <c r="E131" s="95"/>
      <c r="F131" s="95"/>
      <c r="G131" s="96"/>
      <c r="H131" s="97"/>
      <c r="I131" s="98"/>
      <c r="J131" s="268"/>
      <c r="K131" s="100">
        <f>"https://www.wichita.edu/research/WSUInitiatives"</f>
        <v>0</v>
      </c>
      <c r="L131" s="261"/>
      <c r="M131" s="262"/>
      <c r="N131" s="103"/>
      <c r="O131" s="265"/>
      <c r="P131" s="95"/>
      <c r="Q131" s="266"/>
      <c r="R131" s="267"/>
      <c r="S131" s="11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</row>
    <row r="132" spans="1:64" ht="27.75" customHeight="1">
      <c r="A132" s="92"/>
      <c r="B132" s="93"/>
      <c r="C132" s="186"/>
      <c r="D132" s="95" t="s">
        <v>551</v>
      </c>
      <c r="E132" s="109" t="s">
        <v>552</v>
      </c>
      <c r="F132" s="95"/>
      <c r="G132" s="96"/>
      <c r="H132" s="97"/>
      <c r="I132" s="98" t="s">
        <v>553</v>
      </c>
      <c r="J132" s="268"/>
      <c r="K132" s="100">
        <f>"mailto:anne@iicorp.com"</f>
        <v>0</v>
      </c>
      <c r="L132" s="261">
        <f>"Iowa Innovation Corporation:  https://iicorp.com/"</f>
        <v>0</v>
      </c>
      <c r="M132" s="262">
        <f>"https://www.eventbrite.com/e/sbir-road-tour-tickets-58992576384"</f>
        <v>0</v>
      </c>
      <c r="N132" s="148"/>
      <c r="O132" s="265"/>
      <c r="P132" s="95"/>
      <c r="Q132" s="266"/>
      <c r="R132" s="267"/>
      <c r="S132" s="11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</row>
    <row r="133" spans="1:64" ht="26.25" customHeight="1">
      <c r="A133" s="92"/>
      <c r="B133" s="93"/>
      <c r="C133" s="186">
        <f>"Schedule page:  http://www.sbirroadtour.com/dates.php"</f>
        <v>0</v>
      </c>
      <c r="D133" s="95"/>
      <c r="E133" s="95"/>
      <c r="F133" s="95"/>
      <c r="G133" s="96"/>
      <c r="H133" s="97"/>
      <c r="I133" s="98"/>
      <c r="J133" s="268"/>
      <c r="K133" s="100">
        <f>"mailto:safiya@iicorp.com"</f>
        <v>0</v>
      </c>
      <c r="L133" s="261"/>
      <c r="M133" s="262"/>
      <c r="N133" s="148"/>
      <c r="O133" s="265"/>
      <c r="P133" s="95"/>
      <c r="Q133" s="266"/>
      <c r="R133" s="267"/>
      <c r="S133" s="11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</row>
    <row r="134" spans="1:64" ht="66.75" customHeight="1">
      <c r="A134" s="92"/>
      <c r="B134" s="93"/>
      <c r="C134" s="186"/>
      <c r="D134" s="95" t="s">
        <v>554</v>
      </c>
      <c r="E134" s="109" t="s">
        <v>555</v>
      </c>
      <c r="F134" s="95"/>
      <c r="G134" s="96"/>
      <c r="H134" s="97"/>
      <c r="I134" s="98" t="s">
        <v>556</v>
      </c>
      <c r="J134" s="268" t="s">
        <v>557</v>
      </c>
      <c r="K134" s="100">
        <f>"mailto:gary.archamboult@usd.edu"</f>
        <v>0</v>
      </c>
      <c r="L134" s="101">
        <f>"SDFAST:  https://www.sbir.gov/node/736541"</f>
        <v>0</v>
      </c>
      <c r="M134" s="102">
        <f>"https://www.eventbrite.com/e/2019-south-dakota-sbir-road-tour-tickets-59589968199"</f>
        <v>0</v>
      </c>
      <c r="N134" s="274"/>
      <c r="O134" s="265"/>
      <c r="P134" s="95"/>
      <c r="Q134" s="266"/>
      <c r="R134" s="267"/>
      <c r="S134" s="11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</row>
    <row r="135" spans="1:64" ht="24.75" customHeight="1">
      <c r="A135" s="92"/>
      <c r="B135" s="93"/>
      <c r="C135" s="186"/>
      <c r="D135" s="95" t="s">
        <v>558</v>
      </c>
      <c r="E135" s="109" t="s">
        <v>559</v>
      </c>
      <c r="F135" s="95"/>
      <c r="G135" s="96"/>
      <c r="H135" s="97"/>
      <c r="I135" s="98" t="s">
        <v>560</v>
      </c>
      <c r="J135" s="112" t="s">
        <v>561</v>
      </c>
      <c r="K135" s="100">
        <f>"www.ndsuresearchpark.com"</f>
        <v>0</v>
      </c>
      <c r="L135" s="101">
        <f>"NDSU Research &amp; Technology Park:  https://www.ndsuresearchpark.com/"</f>
        <v>0</v>
      </c>
      <c r="M135" s="102">
        <f>"https://www.eventbrite.com/e/sbir-road-tour-fargo-nd-tickets-59535919538"</f>
        <v>0</v>
      </c>
      <c r="N135" s="274"/>
      <c r="O135" s="265"/>
      <c r="P135" s="95"/>
      <c r="Q135" s="266"/>
      <c r="R135" s="267"/>
      <c r="S135" s="11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</row>
    <row r="136" spans="1:64" ht="38.25" customHeight="1">
      <c r="A136" s="92"/>
      <c r="B136" s="93"/>
      <c r="C136" s="186"/>
      <c r="D136" s="95"/>
      <c r="E136" s="109"/>
      <c r="F136" s="95"/>
      <c r="G136" s="96"/>
      <c r="H136" s="97"/>
      <c r="I136" s="98"/>
      <c r="J136" s="112"/>
      <c r="K136" s="100"/>
      <c r="L136" s="101">
        <f>"Greater Fargo Moorhead EDC (Economic Development Corporation):  https://gfmedc.com/"</f>
        <v>0</v>
      </c>
      <c r="M136" s="102"/>
      <c r="N136" s="274"/>
      <c r="O136" s="265"/>
      <c r="P136" s="95"/>
      <c r="Q136" s="266"/>
      <c r="R136" s="267"/>
      <c r="S136" s="11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</row>
    <row r="137" spans="1:64" ht="28.5" customHeight="1">
      <c r="A137" s="92"/>
      <c r="B137" s="93"/>
      <c r="C137" s="186"/>
      <c r="D137" s="95"/>
      <c r="E137" s="109"/>
      <c r="F137" s="95"/>
      <c r="G137" s="96"/>
      <c r="H137" s="97"/>
      <c r="I137" s="98"/>
      <c r="J137" s="112"/>
      <c r="K137" s="100"/>
      <c r="L137" s="101">
        <f>"UND Center for Innovation:  http://www.innovators.net/"</f>
        <v>0</v>
      </c>
      <c r="M137" s="102"/>
      <c r="N137" s="274"/>
      <c r="O137" s="265"/>
      <c r="P137" s="95"/>
      <c r="Q137" s="266"/>
      <c r="R137" s="267"/>
      <c r="S137" s="11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</row>
    <row r="138" spans="1:64" ht="57" customHeight="1">
      <c r="A138" s="92" t="s">
        <v>562</v>
      </c>
      <c r="B138" s="93" t="s">
        <v>563</v>
      </c>
      <c r="C138" s="94">
        <f>"https://www.sae.org/learn/content/c1527/"</f>
        <v>0</v>
      </c>
      <c r="D138" s="95" t="s">
        <v>564</v>
      </c>
      <c r="E138" s="109" t="s">
        <v>565</v>
      </c>
      <c r="F138" s="95" t="s">
        <v>566</v>
      </c>
      <c r="G138" s="96" t="s">
        <v>567</v>
      </c>
      <c r="H138" s="97"/>
      <c r="I138" s="98"/>
      <c r="J138" s="112"/>
      <c r="K138" s="100"/>
      <c r="L138" s="250" t="s">
        <v>568</v>
      </c>
      <c r="M138" s="123" t="s">
        <v>238</v>
      </c>
      <c r="N138" s="116" t="s">
        <v>569</v>
      </c>
      <c r="O138" s="104" t="s">
        <v>83</v>
      </c>
      <c r="P138" s="95">
        <f>"https://www.sae.org/learn/professional-development"</f>
        <v>0</v>
      </c>
      <c r="Q138" s="105" t="s">
        <v>72</v>
      </c>
      <c r="R138" s="115" t="s">
        <v>73</v>
      </c>
      <c r="S138" s="11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</row>
    <row r="139" spans="1:64" ht="80.25" customHeight="1">
      <c r="A139" s="92" t="s">
        <v>570</v>
      </c>
      <c r="B139" s="93" t="s">
        <v>571</v>
      </c>
      <c r="C139" s="94">
        <f>"https://www.sae.org/attend/new-energy-vehicle-forum"</f>
        <v>0</v>
      </c>
      <c r="D139" s="95" t="s">
        <v>564</v>
      </c>
      <c r="E139" s="109" t="s">
        <v>565</v>
      </c>
      <c r="F139" s="95" t="s">
        <v>572</v>
      </c>
      <c r="G139" s="96" t="s">
        <v>573</v>
      </c>
      <c r="H139" s="97"/>
      <c r="I139" s="98"/>
      <c r="J139" s="112"/>
      <c r="K139" s="100"/>
      <c r="L139" s="250"/>
      <c r="M139" s="123"/>
      <c r="N139" s="116"/>
      <c r="O139" s="104" t="s">
        <v>53</v>
      </c>
      <c r="P139" s="95">
        <f>"https://www.sae.org/attend/"</f>
        <v>0</v>
      </c>
      <c r="Q139" s="105" t="s">
        <v>72</v>
      </c>
      <c r="R139" s="115" t="s">
        <v>73</v>
      </c>
      <c r="S139" s="11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</row>
    <row r="140" spans="1:64" ht="50.25" customHeight="1">
      <c r="A140" s="92" t="s">
        <v>574</v>
      </c>
      <c r="B140" s="95" t="s">
        <v>575</v>
      </c>
      <c r="C140" s="95">
        <f>"https://www.autonomousvehicletechnologyexpo.com/en/index.php"</f>
        <v>0</v>
      </c>
      <c r="D140" s="95" t="s">
        <v>459</v>
      </c>
      <c r="E140" s="109" t="s">
        <v>576</v>
      </c>
      <c r="F140" s="95" t="s">
        <v>577</v>
      </c>
      <c r="G140" s="151" t="s">
        <v>578</v>
      </c>
      <c r="H140" s="97"/>
      <c r="I140" s="180"/>
      <c r="J140" s="112"/>
      <c r="K140" s="100">
        <f>"Free Exhibition Pass:  https://www.autonomousvehicletechnologyexpo.com/en/register.php"</f>
        <v>0</v>
      </c>
      <c r="L140" s="121"/>
      <c r="M140" s="122"/>
      <c r="N140" s="103"/>
      <c r="O140" s="149"/>
      <c r="P140" s="155"/>
      <c r="Q140" s="189" t="s">
        <v>54</v>
      </c>
      <c r="R140" s="215" t="s">
        <v>73</v>
      </c>
      <c r="S140" s="11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</row>
    <row r="141" spans="1:64" s="91" customFormat="1" ht="50.25" customHeight="1">
      <c r="A141" s="92" t="s">
        <v>579</v>
      </c>
      <c r="B141" s="95"/>
      <c r="C141" s="95">
        <f>"https://www.autonomousvehiclesymposium.com/en/index.php"</f>
        <v>0</v>
      </c>
      <c r="D141" s="95"/>
      <c r="E141" s="95"/>
      <c r="F141" s="95"/>
      <c r="G141" s="151" t="s">
        <v>580</v>
      </c>
      <c r="H141" s="97"/>
      <c r="I141" s="98" t="s">
        <v>581</v>
      </c>
      <c r="J141" s="112" t="s">
        <v>582</v>
      </c>
      <c r="K141" s="100">
        <f>"mailto:andrew.boakes@ukimediaevents.com"</f>
        <v>0</v>
      </c>
      <c r="L141" s="101">
        <f>"https://www.autonomousvehiclesymposium.com/en/call-for-papers.php"</f>
        <v>0</v>
      </c>
      <c r="M141" s="102">
        <f>"https://www.autonomousvehiclesymposium.com/en/submit-proposal.php"</f>
        <v>0</v>
      </c>
      <c r="N141" s="275" t="s">
        <v>583</v>
      </c>
      <c r="O141" s="149"/>
      <c r="P141" s="155"/>
      <c r="Q141" s="189" t="s">
        <v>584</v>
      </c>
      <c r="R141" s="215" t="s">
        <v>73</v>
      </c>
      <c r="S141" s="11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</row>
    <row r="142" spans="1:64" s="91" customFormat="1" ht="61.5" customHeight="1">
      <c r="A142" s="92" t="s">
        <v>585</v>
      </c>
      <c r="B142" s="95"/>
      <c r="C142" s="95">
        <f>"https://www.autonomousvehicleinteriors.com/en/"</f>
        <v>0</v>
      </c>
      <c r="D142" s="95"/>
      <c r="E142" s="95"/>
      <c r="F142" s="95"/>
      <c r="G142" s="151" t="s">
        <v>586</v>
      </c>
      <c r="H142" s="97"/>
      <c r="I142" s="98"/>
      <c r="J142" s="268">
        <f>"Fax: +44 1306 742525 "</f>
        <v>0</v>
      </c>
      <c r="K142" s="100"/>
      <c r="L142" s="101">
        <f>"https://www.autonomousvehicleinteriors.com/en/call-for-papers.php"</f>
        <v>0</v>
      </c>
      <c r="M142" s="102">
        <f>"https://www.autonomousvehicleinteriors.com/en/submit-proposal.php"</f>
        <v>0</v>
      </c>
      <c r="N142" s="103" t="s">
        <v>583</v>
      </c>
      <c r="O142" s="149"/>
      <c r="P142" s="155"/>
      <c r="Q142" s="189" t="s">
        <v>584</v>
      </c>
      <c r="R142" s="215" t="s">
        <v>73</v>
      </c>
      <c r="S142" s="11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</row>
    <row r="143" spans="1:64" s="91" customFormat="1" ht="49.5" customHeight="1">
      <c r="A143" s="92" t="s">
        <v>587</v>
      </c>
      <c r="B143" s="95"/>
      <c r="C143" s="95">
        <f>"https://www.autonomousvehicle-software.com/en/index.php"</f>
        <v>0</v>
      </c>
      <c r="D143" s="95"/>
      <c r="E143" s="95"/>
      <c r="F143" s="95"/>
      <c r="G143" s="151" t="s">
        <v>588</v>
      </c>
      <c r="H143" s="97"/>
      <c r="I143" s="98"/>
      <c r="J143" s="268"/>
      <c r="K143" s="100"/>
      <c r="L143" s="101">
        <f>"https://www.autonomousvehicle-software.com/en/call-for-papers.php"</f>
        <v>0</v>
      </c>
      <c r="M143" s="102">
        <f>"https://www.autonomousvehicle-software.com/en/submit-proposal.php"</f>
        <v>0</v>
      </c>
      <c r="N143" s="103" t="s">
        <v>583</v>
      </c>
      <c r="O143" s="149"/>
      <c r="P143" s="155"/>
      <c r="Q143" s="189" t="s">
        <v>584</v>
      </c>
      <c r="R143" s="215" t="s">
        <v>73</v>
      </c>
      <c r="S143" s="11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</row>
    <row r="144" spans="1:64" s="91" customFormat="1" ht="34.5" customHeight="1">
      <c r="A144" s="92" t="s">
        <v>589</v>
      </c>
      <c r="B144" s="93" t="s">
        <v>590</v>
      </c>
      <c r="C144" s="186">
        <f>"http://www.gtsummitexpo.socialenterprises.net/"</f>
        <v>0</v>
      </c>
      <c r="D144" s="197" t="s">
        <v>591</v>
      </c>
      <c r="E144" s="253" t="s">
        <v>576</v>
      </c>
      <c r="F144" s="197" t="s">
        <v>592</v>
      </c>
      <c r="G144" s="96" t="s">
        <v>593</v>
      </c>
      <c r="H144" s="97"/>
      <c r="I144" s="98"/>
      <c r="J144" s="268"/>
      <c r="K144" s="100">
        <f>"http://www.gtsummitexpo.socialenterprises.net/contact/"</f>
        <v>0</v>
      </c>
      <c r="L144" s="261">
        <f>"Call for Session and Speaker Proposals:  http://www.gtsummitexpo.socialenterprises.net/downloads/GTSE19_CFP.pdf"</f>
        <v>0</v>
      </c>
      <c r="M144" s="122"/>
      <c r="N144" s="274" t="s">
        <v>594</v>
      </c>
      <c r="O144" s="104" t="s">
        <v>445</v>
      </c>
      <c r="P144" s="95">
        <f>"https://emc-mec.ca/event/"</f>
        <v>0</v>
      </c>
      <c r="Q144" s="105" t="s">
        <v>54</v>
      </c>
      <c r="R144" s="106" t="s">
        <v>55</v>
      </c>
      <c r="S144" s="11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</row>
    <row r="145" spans="1:64" s="91" customFormat="1" ht="38.25" customHeight="1">
      <c r="A145" s="92"/>
      <c r="B145" s="93"/>
      <c r="C145" s="186"/>
      <c r="D145" s="197"/>
      <c r="E145" s="197"/>
      <c r="F145" s="197"/>
      <c r="G145" s="96"/>
      <c r="H145" s="97"/>
      <c r="I145" s="98"/>
      <c r="J145" s="268"/>
      <c r="K145" s="100"/>
      <c r="L145" s="261"/>
      <c r="M145" s="122"/>
      <c r="N145" s="274"/>
      <c r="O145" s="104" t="s">
        <v>595</v>
      </c>
      <c r="P145" s="95">
        <f>"http://www.socialenterprises.net/"</f>
        <v>0</v>
      </c>
      <c r="Q145" s="105"/>
      <c r="R145" s="106"/>
      <c r="S145" s="11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</row>
    <row r="146" spans="1:64" s="91" customFormat="1" ht="45.75" customHeight="1">
      <c r="A146" s="92" t="s">
        <v>596</v>
      </c>
      <c r="B146" s="93" t="s">
        <v>597</v>
      </c>
      <c r="C146" s="186">
        <f>"https://www.volpe.dot.gov/event/diana-furchtgott-roth-new-mobility"</f>
        <v>0</v>
      </c>
      <c r="D146" s="95" t="s">
        <v>598</v>
      </c>
      <c r="E146" s="109" t="s">
        <v>599</v>
      </c>
      <c r="F146" s="95" t="s">
        <v>600</v>
      </c>
      <c r="G146" s="276"/>
      <c r="H146" s="277" t="s">
        <v>601</v>
      </c>
      <c r="I146" s="98" t="s">
        <v>602</v>
      </c>
      <c r="J146" s="268" t="s">
        <v>603</v>
      </c>
      <c r="K146" s="100" t="s">
        <v>604</v>
      </c>
      <c r="L146" s="113">
        <f>"You must register -- Registration Information:  https://www.volpe.dot.gov/events/how-to-attend"</f>
        <v>0</v>
      </c>
      <c r="M146" s="262">
        <f>"Series:  &amp;ldqo;Our New Mobility Future&amp;rdqo; Thought Leadership Series:  https://www.volpe.dot.gov/events/our-new-mobility-future"</f>
        <v>0</v>
      </c>
      <c r="N146" s="278"/>
      <c r="O146" s="104" t="s">
        <v>605</v>
      </c>
      <c r="P146" s="95" t="s">
        <v>606</v>
      </c>
      <c r="Q146" s="105" t="s">
        <v>607</v>
      </c>
      <c r="R146" s="106" t="s">
        <v>55</v>
      </c>
      <c r="S146" s="11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</row>
    <row r="147" spans="1:64" s="91" customFormat="1" ht="39" customHeight="1">
      <c r="A147" s="92"/>
      <c r="B147" s="93"/>
      <c r="C147" s="186"/>
      <c r="D147" s="95"/>
      <c r="E147" s="109"/>
      <c r="F147" s="95"/>
      <c r="G147" s="276"/>
      <c r="H147" s="277"/>
      <c r="I147" s="98"/>
      <c r="J147" s="268"/>
      <c r="K147" s="100"/>
      <c r="L147" s="113">
        <f>"Free reservation page: https://volpe-events.webex.com/mw3300/mywebex/default.do?siteurl=volpe-events"</f>
        <v>0</v>
      </c>
      <c r="M147" s="262"/>
      <c r="N147" s="278"/>
      <c r="O147" s="183" t="s">
        <v>608</v>
      </c>
      <c r="P147" s="279">
        <f>"https://www.volpe.dot.gov/upcoming-events"</f>
        <v>0</v>
      </c>
      <c r="Q147" s="105"/>
      <c r="R147" s="106"/>
      <c r="S147" s="11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</row>
    <row r="148" spans="1:64" s="91" customFormat="1" ht="36" customHeight="1">
      <c r="A148" s="197" t="s">
        <v>74</v>
      </c>
      <c r="B148" s="197" t="s">
        <v>609</v>
      </c>
      <c r="C148" s="197">
        <f>"https://www.sae.org/learn/content/c1868/"</f>
        <v>0</v>
      </c>
      <c r="D148" s="197" t="s">
        <v>610</v>
      </c>
      <c r="E148" s="253" t="s">
        <v>611</v>
      </c>
      <c r="F148" s="197" t="s">
        <v>78</v>
      </c>
      <c r="G148" s="118" t="s">
        <v>79</v>
      </c>
      <c r="H148" s="111"/>
      <c r="I148" s="280"/>
      <c r="J148" s="268"/>
      <c r="K148" s="281"/>
      <c r="L148" s="282" t="s">
        <v>80</v>
      </c>
      <c r="M148" s="262" t="s">
        <v>81</v>
      </c>
      <c r="N148" s="116" t="s">
        <v>82</v>
      </c>
      <c r="O148" s="104" t="s">
        <v>83</v>
      </c>
      <c r="P148" s="197">
        <f>"https://www.sae.org/learn/professional-development"</f>
        <v>0</v>
      </c>
      <c r="Q148" s="105" t="s">
        <v>72</v>
      </c>
      <c r="R148" s="115" t="s">
        <v>73</v>
      </c>
      <c r="S148" s="11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</row>
    <row r="149" spans="1:64" s="91" customFormat="1" ht="26.25" customHeight="1">
      <c r="A149" s="197"/>
      <c r="B149" s="197"/>
      <c r="C149" s="197"/>
      <c r="D149" s="197"/>
      <c r="E149" s="253"/>
      <c r="F149" s="197"/>
      <c r="G149" s="118"/>
      <c r="H149" s="111"/>
      <c r="I149" s="280"/>
      <c r="J149" s="268"/>
      <c r="K149" s="281"/>
      <c r="L149" s="282"/>
      <c r="M149" s="262"/>
      <c r="N149" s="123" t="s">
        <v>84</v>
      </c>
      <c r="O149" s="104"/>
      <c r="P149" s="104"/>
      <c r="Q149" s="104"/>
      <c r="R149" s="115"/>
      <c r="S149" s="11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</row>
    <row r="150" spans="1:64" s="91" customFormat="1" ht="41.25" customHeight="1">
      <c r="A150" s="92" t="s">
        <v>612</v>
      </c>
      <c r="B150" s="93" t="s">
        <v>613</v>
      </c>
      <c r="C150" s="186">
        <f>"Rus-Maglev-19-email-source.HTML"</f>
        <v>0</v>
      </c>
      <c r="D150" s="197" t="s">
        <v>614</v>
      </c>
      <c r="E150" s="253" t="s">
        <v>615</v>
      </c>
      <c r="F150" s="197" t="s">
        <v>616</v>
      </c>
      <c r="G150" s="96" t="s">
        <v>617</v>
      </c>
      <c r="H150" s="97"/>
      <c r="I150" s="98"/>
      <c r="J150" s="268">
        <f>"+7 (812) 230-23-10"</f>
        <v>0</v>
      </c>
      <c r="K150" s="100">
        <f>"mailto:rusmaglev@gmail.com"</f>
        <v>0</v>
      </c>
      <c r="L150" s="250">
        <f>"Principal sponsoring organization:  http://rusmaglev.com/en/"</f>
        <v>0</v>
      </c>
      <c r="M150" s="262">
        <f>"mailto:info@transsyst.ru"</f>
        <v>0</v>
      </c>
      <c r="N150" s="274">
        <f>"Full papers due:  2019/04/11"</f>
        <v>0</v>
      </c>
      <c r="O150" s="104" t="s">
        <v>618</v>
      </c>
      <c r="P150" s="197">
        <f>"http://www.maglevboard.net/en/the-conferences"</f>
        <v>0</v>
      </c>
      <c r="Q150" s="105" t="s">
        <v>72</v>
      </c>
      <c r="R150" s="115" t="s">
        <v>619</v>
      </c>
      <c r="S150" s="11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</row>
    <row r="151" spans="1:64" s="91" customFormat="1" ht="41.25" customHeight="1">
      <c r="A151" s="92"/>
      <c r="B151" s="93"/>
      <c r="C151" s="186"/>
      <c r="D151" s="197"/>
      <c r="E151" s="253"/>
      <c r="F151" s="197"/>
      <c r="G151" s="96"/>
      <c r="H151" s="97"/>
      <c r="I151" s="98"/>
      <c r="J151" s="268"/>
      <c r="K151" s="100">
        <f>"http://rusmaglev.com/en/kontakty/"</f>
        <v>0</v>
      </c>
      <c r="L151" s="250">
        <f>"Facebook page (including animation):  https://www.facebook.com/rusmaglev/"</f>
        <v>0</v>
      </c>
      <c r="M151" s="262"/>
      <c r="N151" s="274"/>
      <c r="O151" s="104"/>
      <c r="P151" s="197"/>
      <c r="Q151" s="105"/>
      <c r="R151" s="115"/>
      <c r="S151" s="11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</row>
    <row r="152" spans="1:64" s="91" customFormat="1" ht="50.25" customHeight="1">
      <c r="A152" s="92" t="s">
        <v>620</v>
      </c>
      <c r="B152" s="93" t="s">
        <v>621</v>
      </c>
      <c r="C152" s="94">
        <f>"https://sveq.ebems.com/home.html"</f>
        <v>0</v>
      </c>
      <c r="D152" s="95" t="s">
        <v>451</v>
      </c>
      <c r="E152" s="109" t="s">
        <v>622</v>
      </c>
      <c r="F152" s="95" t="s">
        <v>623</v>
      </c>
      <c r="G152" s="96" t="s">
        <v>444</v>
      </c>
      <c r="H152" s="97"/>
      <c r="I152" s="98"/>
      <c r="J152" s="112"/>
      <c r="K152" s="100">
        <f>"https://sveq.ebems.com/contact-en.html"</f>
        <v>0</v>
      </c>
      <c r="L152" s="250">
        <f>"Exhibitors' info:  https://sveq.ebems.com/reserve/reserve-your-booth.html"</f>
        <v>0</v>
      </c>
      <c r="M152" s="123"/>
      <c r="N152" s="116"/>
      <c r="O152" s="104" t="s">
        <v>445</v>
      </c>
      <c r="P152" s="95">
        <f>"https://emc-mec.ca/event/"</f>
        <v>0</v>
      </c>
      <c r="Q152" s="105" t="s">
        <v>108</v>
      </c>
      <c r="R152" s="106" t="s">
        <v>55</v>
      </c>
      <c r="S152" s="11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</row>
    <row r="153" spans="1:64" s="91" customFormat="1" ht="38.25" customHeight="1">
      <c r="A153" s="205" t="s">
        <v>624</v>
      </c>
      <c r="B153" s="206" t="s">
        <v>625</v>
      </c>
      <c r="C153" s="207">
        <f>"https://www.intertraffic.com/en/china/"</f>
        <v>0</v>
      </c>
      <c r="D153" s="155" t="s">
        <v>610</v>
      </c>
      <c r="E153" s="208" t="s">
        <v>626</v>
      </c>
      <c r="F153" s="155" t="s">
        <v>627</v>
      </c>
      <c r="G153" s="209" t="s">
        <v>628</v>
      </c>
      <c r="H153" s="210"/>
      <c r="I153" s="211"/>
      <c r="J153" s="212"/>
      <c r="K153" s="256">
        <f>"https://www.intertraffic.com/contact/"</f>
        <v>0</v>
      </c>
      <c r="L153" s="214">
        <f>"Exhibitor's info: https://www.intertraffic.com/en/China/exhibiting/"</f>
        <v>0</v>
      </c>
      <c r="M153" s="123">
        <f>"ITSUP (for startups):  https://www.intertraffic.com/itsup"</f>
        <v>0</v>
      </c>
      <c r="N153" s="116"/>
      <c r="O153" s="211" t="s">
        <v>365</v>
      </c>
      <c r="P153" s="212">
        <f>"https://www.intertraffic.com/"</f>
        <v>0</v>
      </c>
      <c r="Q153" s="213" t="s">
        <v>72</v>
      </c>
      <c r="R153" s="215" t="s">
        <v>73</v>
      </c>
      <c r="S153" s="11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</row>
    <row r="154" spans="1:64" s="91" customFormat="1" ht="69" customHeight="1">
      <c r="A154" s="205" t="s">
        <v>629</v>
      </c>
      <c r="B154" s="206" t="s">
        <v>630</v>
      </c>
      <c r="C154" s="207">
        <f>"https://erticonetwork.com/event/european-conference-on-mobility-management-ecomm/"</f>
        <v>0</v>
      </c>
      <c r="D154" s="155" t="s">
        <v>631</v>
      </c>
      <c r="E154" s="208" t="s">
        <v>632</v>
      </c>
      <c r="F154" s="155" t="s">
        <v>633</v>
      </c>
      <c r="G154" s="209" t="s">
        <v>634</v>
      </c>
      <c r="H154" s="210"/>
      <c r="I154" s="211"/>
      <c r="J154" s="212"/>
      <c r="K154" s="256"/>
      <c r="L154" s="214"/>
      <c r="M154" s="123"/>
      <c r="N154" s="116"/>
      <c r="O154" s="104" t="s">
        <v>635</v>
      </c>
      <c r="P154" s="197">
        <f>"http://ertico.com/projects/congresses/"</f>
        <v>0</v>
      </c>
      <c r="Q154" s="213" t="s">
        <v>72</v>
      </c>
      <c r="R154" s="215" t="s">
        <v>73</v>
      </c>
      <c r="S154" s="11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</row>
    <row r="155" spans="1:64" s="91" customFormat="1" ht="49.5" customHeight="1">
      <c r="A155" s="216" t="s">
        <v>636</v>
      </c>
      <c r="B155" s="217" t="s">
        <v>637</v>
      </c>
      <c r="C155" s="218">
        <f>"https://northshorepubliclibrary.org/event/an-electric-idea-nikola-tesla-and-his-long-island-laboratory/"</f>
        <v>0</v>
      </c>
      <c r="D155" s="155" t="s">
        <v>638</v>
      </c>
      <c r="E155" s="109" t="s">
        <v>639</v>
      </c>
      <c r="F155" s="155" t="s">
        <v>640</v>
      </c>
      <c r="G155" s="209" t="s">
        <v>641</v>
      </c>
      <c r="H155" s="210"/>
      <c r="I155" s="149"/>
      <c r="J155" s="155"/>
      <c r="K155" s="100"/>
      <c r="L155" s="283">
        <f>"Registration:  https://search.livebrary.com/record=g1091231&amp;searchscope=41&amp;SORT2=R"</f>
        <v>0</v>
      </c>
      <c r="M155" s="122"/>
      <c r="N155" s="103"/>
      <c r="O155" s="149" t="s">
        <v>209</v>
      </c>
      <c r="P155" s="155" t="s">
        <v>642</v>
      </c>
      <c r="Q155" s="189" t="s">
        <v>108</v>
      </c>
      <c r="R155" s="284" t="s">
        <v>109</v>
      </c>
      <c r="S155" s="11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</row>
    <row r="156" spans="1:64" ht="39" customHeight="1">
      <c r="A156" s="216"/>
      <c r="B156" s="217"/>
      <c r="C156" s="218"/>
      <c r="D156" s="155"/>
      <c r="E156" s="155"/>
      <c r="F156" s="155"/>
      <c r="G156" s="285" t="s">
        <v>643</v>
      </c>
      <c r="H156" s="286"/>
      <c r="I156" s="149"/>
      <c r="J156" s="155"/>
      <c r="K156" s="100"/>
      <c r="L156" s="283"/>
      <c r="M156" s="122"/>
      <c r="N156" s="103"/>
      <c r="O156" s="149"/>
      <c r="P156" s="155"/>
      <c r="Q156" s="189"/>
      <c r="R156" s="284"/>
      <c r="S156" s="11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</row>
    <row r="157" spans="1:64" s="91" customFormat="1" ht="50.25" customHeight="1">
      <c r="A157" s="92" t="s">
        <v>644</v>
      </c>
      <c r="B157" s="93" t="s">
        <v>645</v>
      </c>
      <c r="C157" s="94">
        <f>"https://www.sae.org/attend/student-events/autodrive-challenge/"</f>
        <v>0</v>
      </c>
      <c r="D157" s="95" t="s">
        <v>646</v>
      </c>
      <c r="E157" s="109" t="s">
        <v>647</v>
      </c>
      <c r="F157" s="95" t="s">
        <v>648</v>
      </c>
      <c r="G157" s="96" t="s">
        <v>649</v>
      </c>
      <c r="H157" s="97"/>
      <c r="I157" s="98"/>
      <c r="J157" s="112"/>
      <c r="K157" s="100">
        <f>"https://www.sae.org/attend/student-events/autodrive-challenge/contact"</f>
        <v>0</v>
      </c>
      <c r="L157" s="250"/>
      <c r="M157" s="123"/>
      <c r="N157" s="116"/>
      <c r="O157" s="104" t="s">
        <v>53</v>
      </c>
      <c r="P157" s="95" t="s">
        <v>650</v>
      </c>
      <c r="Q157" s="105" t="s">
        <v>651</v>
      </c>
      <c r="R157" s="106" t="s">
        <v>55</v>
      </c>
      <c r="S157" s="11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</row>
    <row r="158" spans="1:64" ht="61.5" customHeight="1">
      <c r="A158" s="92" t="s">
        <v>652</v>
      </c>
      <c r="B158" s="93" t="s">
        <v>653</v>
      </c>
      <c r="C158" s="186">
        <f>"http://www.trbappcon.org/"</f>
        <v>0</v>
      </c>
      <c r="D158" s="197" t="s">
        <v>654</v>
      </c>
      <c r="E158" s="253" t="s">
        <v>655</v>
      </c>
      <c r="F158" s="197" t="s">
        <v>656</v>
      </c>
      <c r="G158" s="287" t="s">
        <v>657</v>
      </c>
      <c r="H158" s="288"/>
      <c r="I158" s="98"/>
      <c r="J158" s="268"/>
      <c r="K158" s="100">
        <f>"https://www.trbappcon.org/wordpress/?page_id=82"</f>
        <v>0</v>
      </c>
      <c r="L158" s="258">
        <f>"http://www.trbappcon.org/2017conf/CallForAbstracts.pdf"</f>
        <v>0</v>
      </c>
      <c r="M158" s="289">
        <f>"http://www.trbappcon.org/AbstractSubmission.aspx"</f>
        <v>0</v>
      </c>
      <c r="N158" s="290" t="s">
        <v>658</v>
      </c>
      <c r="O158" s="104" t="s">
        <v>71</v>
      </c>
      <c r="P158" s="197">
        <f>"http://www.trb.org/Calendar/Calendar.aspx"</f>
        <v>0</v>
      </c>
      <c r="Q158" s="105" t="s">
        <v>72</v>
      </c>
      <c r="R158" s="115" t="s">
        <v>73</v>
      </c>
      <c r="S158" s="11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</row>
    <row r="159" spans="1:64" ht="61.5" customHeight="1">
      <c r="A159" s="92"/>
      <c r="B159" s="93"/>
      <c r="C159" s="186"/>
      <c r="D159" s="197"/>
      <c r="E159" s="197"/>
      <c r="F159" s="197"/>
      <c r="G159" s="287"/>
      <c r="H159" s="288"/>
      <c r="I159" s="98"/>
      <c r="J159" s="268"/>
      <c r="K159" s="100"/>
      <c r="L159" s="101">
        <f>"ADB Activities at Annual Meeting (January 14-17):  https://www.trbappcon.org/wordpress/?page_id=207"</f>
        <v>0</v>
      </c>
      <c r="M159" s="289"/>
      <c r="N159" s="290"/>
      <c r="O159" s="104"/>
      <c r="P159" s="197"/>
      <c r="Q159" s="105"/>
      <c r="R159" s="115"/>
      <c r="S159" s="11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</row>
    <row r="160" spans="1:64" ht="35.25" customHeight="1">
      <c r="A160" s="92" t="s">
        <v>659</v>
      </c>
      <c r="B160" s="93" t="s">
        <v>660</v>
      </c>
      <c r="C160" s="186">
        <f>"https://2019.itsineurope.com/"</f>
        <v>0</v>
      </c>
      <c r="D160" s="95" t="s">
        <v>661</v>
      </c>
      <c r="E160" s="253" t="s">
        <v>662</v>
      </c>
      <c r="F160" s="95" t="s">
        <v>663</v>
      </c>
      <c r="G160" s="96" t="s">
        <v>664</v>
      </c>
      <c r="H160" s="97"/>
      <c r="I160" s="98"/>
      <c r="J160" s="268"/>
      <c r="K160" s="100"/>
      <c r="L160" s="113">
        <f>"https://2019.itsineurope.com/submissions/"</f>
        <v>0</v>
      </c>
      <c r="M160" s="123"/>
      <c r="N160" s="116" t="s">
        <v>665</v>
      </c>
      <c r="O160" s="104" t="s">
        <v>635</v>
      </c>
      <c r="P160" s="197">
        <f>"http://ertico.com/projects/congresses/"</f>
        <v>0</v>
      </c>
      <c r="Q160" s="105" t="s">
        <v>54</v>
      </c>
      <c r="R160" s="115" t="s">
        <v>73</v>
      </c>
      <c r="S160" s="11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</row>
    <row r="161" spans="1:64" ht="33.75" customHeight="1">
      <c r="A161" s="92"/>
      <c r="B161" s="93"/>
      <c r="C161" s="186"/>
      <c r="D161" s="95"/>
      <c r="E161" s="253"/>
      <c r="F161" s="95"/>
      <c r="G161" s="96"/>
      <c r="H161" s="97"/>
      <c r="I161" s="98"/>
      <c r="J161" s="268"/>
      <c r="K161" s="100"/>
      <c r="L161" s="113">
        <f>"Exhibitor&amp;rsquo; Information:  https://2019.itsineurope.com/exhibition/"</f>
        <v>0</v>
      </c>
      <c r="M161" s="123"/>
      <c r="N161" s="116"/>
      <c r="O161" s="104"/>
      <c r="P161" s="197"/>
      <c r="Q161" s="105"/>
      <c r="R161" s="115"/>
      <c r="S161" s="11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</row>
    <row r="162" spans="1:64" ht="68.25" customHeight="1">
      <c r="A162" s="92"/>
      <c r="B162" s="93"/>
      <c r="C162" s="186"/>
      <c r="D162" s="95"/>
      <c r="E162" s="109" t="s">
        <v>666</v>
      </c>
      <c r="F162" s="95"/>
      <c r="G162" s="96"/>
      <c r="H162" s="97"/>
      <c r="I162" s="98"/>
      <c r="J162" s="268"/>
      <c r="K162" s="100"/>
      <c r="L162" s="113">
        <f>"Demonstrations:  https://2019.itsineurope.com/demonstrations/"</f>
        <v>0</v>
      </c>
      <c r="M162" s="123">
        <f>"Brochure:  https://2019.itsineurope.com/wp-content/uploads/2018/12/Call-for-Demonstrations-A4.pdf"</f>
        <v>0</v>
      </c>
      <c r="N162" s="116" t="s">
        <v>667</v>
      </c>
      <c r="O162" s="225" t="s">
        <v>668</v>
      </c>
      <c r="P162" s="291">
        <f>"http://itsineurope.com/"</f>
        <v>0</v>
      </c>
      <c r="Q162" s="105"/>
      <c r="R162" s="115"/>
      <c r="S162" s="11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</row>
    <row r="163" spans="1:64" ht="38.25" customHeight="1">
      <c r="A163" s="216" t="s">
        <v>669</v>
      </c>
      <c r="B163" s="217" t="s">
        <v>670</v>
      </c>
      <c r="C163" s="218">
        <f>"https://automotive.knect365.com/tu-auto-detroit/"</f>
        <v>0</v>
      </c>
      <c r="D163" s="155" t="s">
        <v>671</v>
      </c>
      <c r="E163" s="208" t="s">
        <v>672</v>
      </c>
      <c r="F163" s="155" t="s">
        <v>673</v>
      </c>
      <c r="G163" s="221" t="s">
        <v>674</v>
      </c>
      <c r="H163" s="222"/>
      <c r="I163" s="292" t="s">
        <v>675</v>
      </c>
      <c r="J163" s="293">
        <f>"+44 (0) 207 55 19827"</f>
        <v>0</v>
      </c>
      <c r="K163" s="100">
        <f>"https://automotive.knect365.com/tu-auto-detroit/contact"</f>
        <v>0</v>
      </c>
      <c r="L163" s="261">
        <f>"Exhibition:  https://automotive.knect365.com/tu-auto-detroit/exhibition"</f>
        <v>0</v>
      </c>
      <c r="M163" s="262"/>
      <c r="N163" s="274"/>
      <c r="O163" s="149"/>
      <c r="P163" s="155"/>
      <c r="Q163" s="189" t="s">
        <v>676</v>
      </c>
      <c r="R163" s="215" t="s">
        <v>73</v>
      </c>
      <c r="S163" s="11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64" ht="39.75" customHeight="1">
      <c r="A164" s="216"/>
      <c r="B164" s="217"/>
      <c r="C164" s="218"/>
      <c r="D164" s="155"/>
      <c r="E164" s="155"/>
      <c r="F164" s="155"/>
      <c r="G164" s="221" t="s">
        <v>677</v>
      </c>
      <c r="H164" s="222"/>
      <c r="I164" s="292"/>
      <c r="J164" s="293"/>
      <c r="K164" s="204">
        <f>"mailto:annie@tu-auto.com"</f>
        <v>0</v>
      </c>
      <c r="L164" s="261"/>
      <c r="M164" s="262"/>
      <c r="N164" s="274"/>
      <c r="O164" s="149"/>
      <c r="P164" s="155"/>
      <c r="Q164" s="189"/>
      <c r="R164" s="215"/>
      <c r="S164" s="11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</row>
    <row r="165" spans="1:64" ht="57.75" customHeight="1">
      <c r="A165" s="294">
        <f>"30&lt;sup&gt;th&lt;/sup&gt; IEEE Intelligent Vehicles Symposium"</f>
        <v>0</v>
      </c>
      <c r="B165" s="217" t="s">
        <v>678</v>
      </c>
      <c r="C165" s="218">
        <f>"http://www.iv2019.org/"</f>
        <v>0</v>
      </c>
      <c r="D165" s="155" t="s">
        <v>679</v>
      </c>
      <c r="E165" s="208" t="s">
        <v>680</v>
      </c>
      <c r="F165" s="155" t="s">
        <v>681</v>
      </c>
      <c r="G165" s="209" t="s">
        <v>682</v>
      </c>
      <c r="H165" s="188"/>
      <c r="I165" s="180"/>
      <c r="J165" s="181"/>
      <c r="K165" s="256">
        <f>"mailto:contact@iv2019.org"</f>
        <v>0</v>
      </c>
      <c r="L165" s="101">
        <f>"Workshop and Tutorial Proposals:  http://iv2019.org/workshops-call-for-papers/"</f>
        <v>0</v>
      </c>
      <c r="M165" s="102">
        <f>"List of accepted workshops:  http://iv2019.org/workshops/"</f>
        <v>0</v>
      </c>
      <c r="N165" s="103" t="s">
        <v>683</v>
      </c>
      <c r="O165" s="149" t="s">
        <v>373</v>
      </c>
      <c r="P165" s="155">
        <f>"https://www.ieee-itss.org/"</f>
        <v>0</v>
      </c>
      <c r="Q165" s="142" t="s">
        <v>72</v>
      </c>
      <c r="R165" s="215" t="s">
        <v>73</v>
      </c>
      <c r="S165" s="11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64" ht="43.5" customHeight="1">
      <c r="A166" s="294"/>
      <c r="B166" s="217"/>
      <c r="C166" s="218"/>
      <c r="D166" s="155"/>
      <c r="E166" s="208"/>
      <c r="F166" s="155"/>
      <c r="G166" s="209"/>
      <c r="H166" s="188"/>
      <c r="I166" s="180"/>
      <c r="J166" s="181"/>
      <c r="K166" s="256"/>
      <c r="L166" s="101">
        <f>"Full-Paper Submission:  http://iv2019.org/call-for-paper/"</f>
        <v>0</v>
      </c>
      <c r="M166" s="102"/>
      <c r="N166" s="103" t="s">
        <v>684</v>
      </c>
      <c r="O166" s="149"/>
      <c r="P166" s="155"/>
      <c r="Q166" s="142"/>
      <c r="R166" s="215"/>
      <c r="S166" s="11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</row>
    <row r="167" spans="1:64" ht="29.25" customHeight="1">
      <c r="A167" s="294"/>
      <c r="B167" s="217"/>
      <c r="C167" s="218"/>
      <c r="D167" s="155"/>
      <c r="E167" s="208"/>
      <c r="F167" s="155"/>
      <c r="G167" s="209"/>
      <c r="H167" s="188"/>
      <c r="I167" s="180"/>
      <c r="J167" s="181"/>
      <c r="K167" s="256"/>
      <c r="L167" s="101">
        <f>"Information for authors:  http://iv2019.org/information-for-authors/"</f>
        <v>0</v>
      </c>
      <c r="M167" s="102"/>
      <c r="N167" s="103"/>
      <c r="O167" s="149"/>
      <c r="P167" s="155"/>
      <c r="Q167" s="142"/>
      <c r="R167" s="215"/>
      <c r="S167" s="11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64" ht="90" customHeight="1">
      <c r="A168" s="92" t="s">
        <v>56</v>
      </c>
      <c r="B168" s="93" t="s">
        <v>685</v>
      </c>
      <c r="C168" s="94">
        <f>"http://transportationcamp.org/events/ipmi2019/"</f>
        <v>0</v>
      </c>
      <c r="D168" s="95" t="s">
        <v>686</v>
      </c>
      <c r="E168" s="109" t="s">
        <v>687</v>
      </c>
      <c r="F168" s="95" t="s">
        <v>61</v>
      </c>
      <c r="G168" s="96" t="s">
        <v>688</v>
      </c>
      <c r="H168" s="97"/>
      <c r="I168" s="149" t="s">
        <v>689</v>
      </c>
      <c r="J168" s="150">
        <f>"http://ipiconference.parking.org/2019/"</f>
        <v>0</v>
      </c>
      <c r="K168" s="189">
        <f>"Series link:  http://transportationcamp.org/"</f>
        <v>0</v>
      </c>
      <c r="L168" s="101">
        <f>"Essential guide:  http://transportationcamp.org/2011/02/how-transportationcamp-works-the-essential-guide/"</f>
        <v>0</v>
      </c>
      <c r="M168" s="101"/>
      <c r="N168" s="103"/>
      <c r="O168" s="104"/>
      <c r="P168" s="95"/>
      <c r="Q168" s="105" t="s">
        <v>54</v>
      </c>
      <c r="R168" s="106" t="s">
        <v>63</v>
      </c>
      <c r="S168" s="11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64" ht="36" customHeight="1">
      <c r="A169" s="92" t="s">
        <v>690</v>
      </c>
      <c r="B169" s="93" t="s">
        <v>691</v>
      </c>
      <c r="C169" s="186">
        <f>"https://en.wtc-conference.com/"</f>
        <v>0</v>
      </c>
      <c r="D169" s="197" t="s">
        <v>692</v>
      </c>
      <c r="E169" s="253" t="s">
        <v>693</v>
      </c>
      <c r="F169" s="95" t="s">
        <v>694</v>
      </c>
      <c r="G169" s="295">
        <f>"[includes] &amp;ldquo;the Belt and Road&amp;rdquo; initiative"</f>
        <v>0</v>
      </c>
      <c r="H169" s="145"/>
      <c r="I169" s="98"/>
      <c r="J169" s="268"/>
      <c r="K169" s="100">
        <f>"https://www.wtc-conference.com/contact-us"</f>
        <v>0</v>
      </c>
      <c r="L169" s="261">
        <f>"http://img.chts.cn/web/2018/12/2019%20World%20Transport%20Convention%20Call%20for%20Papers%20English.docx"</f>
        <v>0</v>
      </c>
      <c r="M169" s="262">
        <f>"Template:  http://img.chts.cn/web/2018/12/Paper%20Template%20in%20English.doc"</f>
        <v>0</v>
      </c>
      <c r="N169" s="274" t="s">
        <v>695</v>
      </c>
      <c r="O169" s="265" t="s">
        <v>71</v>
      </c>
      <c r="P169" s="197" t="s">
        <v>267</v>
      </c>
      <c r="Q169" s="266" t="s">
        <v>72</v>
      </c>
      <c r="R169" s="267" t="s">
        <v>73</v>
      </c>
      <c r="S169" s="11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</row>
    <row r="170" spans="1:64" ht="32.25" customHeight="1">
      <c r="A170" s="92"/>
      <c r="B170" s="93"/>
      <c r="C170" s="186"/>
      <c r="D170" s="197"/>
      <c r="E170" s="197"/>
      <c r="F170" s="291" t="s">
        <v>696</v>
      </c>
      <c r="G170" s="295"/>
      <c r="H170" s="145"/>
      <c r="I170" s="98"/>
      <c r="J170" s="268"/>
      <c r="K170" s="100"/>
      <c r="L170" s="261"/>
      <c r="M170" s="262"/>
      <c r="N170" s="274"/>
      <c r="O170" s="265"/>
      <c r="P170" s="197"/>
      <c r="Q170" s="266"/>
      <c r="R170" s="267"/>
      <c r="S170" s="11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</row>
    <row r="171" spans="1:64" s="91" customFormat="1" ht="45.75" customHeight="1">
      <c r="A171" s="92" t="s">
        <v>697</v>
      </c>
      <c r="B171" s="93" t="s">
        <v>698</v>
      </c>
      <c r="C171" s="186">
        <f>"https://www.volpe.dot.gov/event/brian-williams-new-mobility"</f>
        <v>0</v>
      </c>
      <c r="D171" s="95" t="s">
        <v>598</v>
      </c>
      <c r="E171" s="109" t="s">
        <v>699</v>
      </c>
      <c r="F171" s="95" t="s">
        <v>700</v>
      </c>
      <c r="G171" s="295"/>
      <c r="H171" s="296" t="s">
        <v>701</v>
      </c>
      <c r="I171" s="98" t="s">
        <v>602</v>
      </c>
      <c r="J171" s="268" t="s">
        <v>603</v>
      </c>
      <c r="K171" s="100" t="s">
        <v>604</v>
      </c>
      <c r="L171" s="113">
        <f>"You must register -- Registration Information:  https://www.volpe.dot.gov/events/how-to-attend"</f>
        <v>0</v>
      </c>
      <c r="M171" s="262">
        <f>"Series:  &amp;ldqo;Our New Mobility Future&amp;rdqo; Thought Leadership Series:  https://www.volpe.dot.gov/events/our-new-mobility-future"</f>
        <v>0</v>
      </c>
      <c r="N171" s="278"/>
      <c r="O171" s="104" t="s">
        <v>605</v>
      </c>
      <c r="P171" s="95" t="s">
        <v>606</v>
      </c>
      <c r="Q171" s="297" t="s">
        <v>607</v>
      </c>
      <c r="R171" s="115" t="s">
        <v>55</v>
      </c>
      <c r="S171" s="11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64" s="91" customFormat="1" ht="45.75" customHeight="1">
      <c r="A172" s="92"/>
      <c r="B172" s="93"/>
      <c r="C172" s="186"/>
      <c r="D172" s="95"/>
      <c r="E172" s="109"/>
      <c r="F172" s="95"/>
      <c r="G172" s="295"/>
      <c r="H172" s="296"/>
      <c r="I172" s="98"/>
      <c r="J172" s="268"/>
      <c r="K172" s="100"/>
      <c r="L172" s="113">
        <f>"Free reservation page: https://volpe-events.webex.com/mw3300/mywebex/default.do?siteurl=volpe-events"</f>
        <v>0</v>
      </c>
      <c r="M172" s="262"/>
      <c r="N172" s="278"/>
      <c r="O172" s="183" t="s">
        <v>608</v>
      </c>
      <c r="P172" s="279">
        <f>"https://www.volpe.dot.gov/upcoming-events"</f>
        <v>0</v>
      </c>
      <c r="Q172" s="297"/>
      <c r="R172" s="115"/>
      <c r="S172" s="11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</row>
    <row r="173" spans="1:64" s="91" customFormat="1" ht="61.5" customHeight="1">
      <c r="A173" s="92" t="s">
        <v>702</v>
      </c>
      <c r="B173" s="93" t="s">
        <v>200</v>
      </c>
      <c r="C173" s="94">
        <f>"https://teslasciencecenter.org/events/tower-to-the-people-gallery-north/"</f>
        <v>0</v>
      </c>
      <c r="D173" s="95" t="s">
        <v>703</v>
      </c>
      <c r="E173" s="109" t="s">
        <v>704</v>
      </c>
      <c r="F173" s="95" t="s">
        <v>705</v>
      </c>
      <c r="G173" s="96" t="s">
        <v>706</v>
      </c>
      <c r="H173" s="97"/>
      <c r="I173" s="98"/>
      <c r="J173" s="112"/>
      <c r="K173" s="100"/>
      <c r="L173" s="250">
        <f>"Tickets:  https://teslasciencecenter.z2systems.com/np/clients/teslasciencecenter/event.jsp?event=182"</f>
        <v>0</v>
      </c>
      <c r="M173" s="123" t="s">
        <v>707</v>
      </c>
      <c r="N173" s="123"/>
      <c r="O173" s="149" t="s">
        <v>209</v>
      </c>
      <c r="P173" s="155" t="s">
        <v>642</v>
      </c>
      <c r="Q173" s="189" t="s">
        <v>108</v>
      </c>
      <c r="R173" s="284" t="s">
        <v>109</v>
      </c>
      <c r="S173" s="11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</row>
    <row r="174" spans="1:64" s="91" customFormat="1" ht="61.5" customHeight="1">
      <c r="A174" s="92" t="s">
        <v>708</v>
      </c>
      <c r="B174" s="93" t="s">
        <v>709</v>
      </c>
      <c r="C174" s="94">
        <f>"https://www.sae.org/learn/content/c1128/"</f>
        <v>0</v>
      </c>
      <c r="D174" s="95" t="s">
        <v>710</v>
      </c>
      <c r="E174" s="109" t="s">
        <v>711</v>
      </c>
      <c r="F174" s="95" t="s">
        <v>712</v>
      </c>
      <c r="G174" s="96" t="s">
        <v>713</v>
      </c>
      <c r="H174" s="97"/>
      <c r="I174" s="98"/>
      <c r="J174" s="112"/>
      <c r="K174" s="100"/>
      <c r="L174" s="250" t="s">
        <v>714</v>
      </c>
      <c r="M174" s="123" t="s">
        <v>144</v>
      </c>
      <c r="N174" s="116" t="s">
        <v>715</v>
      </c>
      <c r="O174" s="104" t="s">
        <v>83</v>
      </c>
      <c r="P174" s="95">
        <f>"https://www.sae.org/learn/professional-development"</f>
        <v>0</v>
      </c>
      <c r="Q174" s="105" t="s">
        <v>72</v>
      </c>
      <c r="R174" s="115" t="s">
        <v>73</v>
      </c>
      <c r="S174" s="11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</row>
    <row r="175" spans="1:64" s="91" customFormat="1" ht="27.75" customHeight="1">
      <c r="A175" s="92" t="s">
        <v>716</v>
      </c>
      <c r="B175" s="95" t="s">
        <v>717</v>
      </c>
      <c r="C175" s="95"/>
      <c r="D175" s="95" t="s">
        <v>718</v>
      </c>
      <c r="E175" s="109" t="s">
        <v>719</v>
      </c>
      <c r="F175" s="95" t="s">
        <v>720</v>
      </c>
      <c r="G175" s="96"/>
      <c r="H175" s="97"/>
      <c r="I175" s="119"/>
      <c r="J175" s="112"/>
      <c r="K175" s="120"/>
      <c r="L175" s="180"/>
      <c r="M175" s="112"/>
      <c r="N175" s="112"/>
      <c r="O175" s="265"/>
      <c r="P175" s="95"/>
      <c r="Q175" s="266"/>
      <c r="R175" s="267" t="s">
        <v>721</v>
      </c>
      <c r="S175" s="11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64" s="91" customFormat="1" ht="92.25" customHeight="1">
      <c r="A176" s="92" t="s">
        <v>722</v>
      </c>
      <c r="B176" s="95"/>
      <c r="C176" s="95">
        <f>"https://techconnectworld.com/World2019/"</f>
        <v>0</v>
      </c>
      <c r="D176" s="95"/>
      <c r="E176" s="109"/>
      <c r="F176" s="95"/>
      <c r="G176" s="96"/>
      <c r="H176" s="97"/>
      <c r="I176" s="119"/>
      <c r="J176" s="112"/>
      <c r="K176" s="120"/>
      <c r="L176" s="298">
        <f>"Poster Sessions:  https://techconnectworld.com/World2019/participate/authors/"</f>
        <v>0</v>
      </c>
      <c r="M176" s="299"/>
      <c r="N176" s="300" t="s">
        <v>723</v>
      </c>
      <c r="O176" s="265"/>
      <c r="P176" s="95"/>
      <c r="Q176" s="266" t="s">
        <v>72</v>
      </c>
      <c r="R176" s="267"/>
      <c r="S176" s="11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64" s="91" customFormat="1" ht="63" customHeight="1">
      <c r="A177" s="92" t="s">
        <v>724</v>
      </c>
      <c r="B177" s="95"/>
      <c r="C177" s="95">
        <f>"https://techconnectworld.com/World2019/SGLC/StudentGroupLeadership.html"</f>
        <v>0</v>
      </c>
      <c r="D177" s="95"/>
      <c r="E177" s="109"/>
      <c r="F177" s="95"/>
      <c r="G177" s="96" t="s">
        <v>725</v>
      </c>
      <c r="H177" s="97"/>
      <c r="I177" s="119"/>
      <c r="J177" s="112"/>
      <c r="K177" s="120"/>
      <c r="L177" s="231">
        <f>"https://techconnectworld.com/World2019/SGLC/form.html"</f>
        <v>0</v>
      </c>
      <c r="M177" s="155"/>
      <c r="N177" s="155" t="s">
        <v>726</v>
      </c>
      <c r="O177" s="265"/>
      <c r="P177" s="95"/>
      <c r="Q177" s="266" t="s">
        <v>727</v>
      </c>
      <c r="R177" s="270" t="s">
        <v>55</v>
      </c>
      <c r="S177" s="11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64" s="91" customFormat="1" ht="44.25" customHeight="1">
      <c r="A178" s="92" t="s">
        <v>728</v>
      </c>
      <c r="B178" s="95"/>
      <c r="C178" s="95">
        <f>"https://techconnectworld.com/SBIRSpring2019/"</f>
        <v>0</v>
      </c>
      <c r="D178" s="95"/>
      <c r="E178" s="109"/>
      <c r="F178" s="95"/>
      <c r="G178" s="96" t="s">
        <v>729</v>
      </c>
      <c r="H178" s="97"/>
      <c r="I178" s="119"/>
      <c r="J178" s="112"/>
      <c r="K178" s="120"/>
      <c r="L178" s="231">
        <f>"Innovation Submissions:  https://techconnectworld.com/World2019/participate/innovation/form.html"</f>
        <v>0</v>
      </c>
      <c r="M178" s="155"/>
      <c r="N178" s="155" t="s">
        <v>730</v>
      </c>
      <c r="O178" s="265"/>
      <c r="P178" s="95"/>
      <c r="Q178" s="266" t="s">
        <v>72</v>
      </c>
      <c r="R178" s="267" t="s">
        <v>73</v>
      </c>
      <c r="S178" s="11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64" s="91" customFormat="1" ht="44.25" customHeight="1">
      <c r="A179" s="92" t="s">
        <v>731</v>
      </c>
      <c r="B179" s="95"/>
      <c r="C179" s="95">
        <f>"https://events.techconnect.org/DTCSpring/"</f>
        <v>0</v>
      </c>
      <c r="D179" s="95"/>
      <c r="E179" s="109"/>
      <c r="F179" s="95"/>
      <c r="G179" s="96" t="s">
        <v>732</v>
      </c>
      <c r="H179" s="97"/>
      <c r="I179" s="119"/>
      <c r="J179" s="112"/>
      <c r="K179" s="120"/>
      <c r="L179" s="231">
        <f>"Abstracts for Presentations:  https://www.techconnectworld.com/World2019/participate/authors/"</f>
        <v>0</v>
      </c>
      <c r="M179" s="155"/>
      <c r="N179" s="155" t="s">
        <v>733</v>
      </c>
      <c r="O179" s="265"/>
      <c r="P179" s="95"/>
      <c r="Q179" s="266"/>
      <c r="R179" s="267"/>
      <c r="S179" s="11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64" s="91" customFormat="1" ht="44.25" customHeight="1">
      <c r="A180" s="92" t="s">
        <v>734</v>
      </c>
      <c r="B180" s="95"/>
      <c r="C180" s="95">
        <f>"https://techconnectworld.com/World2019/expo/"</f>
        <v>0</v>
      </c>
      <c r="D180" s="95"/>
      <c r="E180" s="109" t="s">
        <v>735</v>
      </c>
      <c r="F180" s="95"/>
      <c r="G180" s="96" t="s">
        <v>736</v>
      </c>
      <c r="H180" s="97"/>
      <c r="I180" s="119"/>
      <c r="J180" s="112"/>
      <c r="K180" s="120"/>
      <c r="L180" s="180"/>
      <c r="M180" s="112"/>
      <c r="N180" s="112"/>
      <c r="O180" s="265"/>
      <c r="P180" s="95"/>
      <c r="Q180" s="266"/>
      <c r="R180" s="267"/>
      <c r="S180" s="11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64" s="91" customFormat="1" ht="26.25" customHeight="1">
      <c r="A181" s="92" t="s">
        <v>737</v>
      </c>
      <c r="B181" s="197" t="s">
        <v>738</v>
      </c>
      <c r="C181" s="186">
        <f>"http://roadmapforth.org/"</f>
        <v>0</v>
      </c>
      <c r="D181" s="197" t="s">
        <v>654</v>
      </c>
      <c r="E181" s="253" t="s">
        <v>739</v>
      </c>
      <c r="F181" s="197" t="s">
        <v>740</v>
      </c>
      <c r="G181" s="295" t="s">
        <v>741</v>
      </c>
      <c r="H181" s="145"/>
      <c r="I181" s="119"/>
      <c r="J181" s="268"/>
      <c r="K181" s="100">
        <f>"http://roadmapforth.org/contact/"</f>
        <v>0</v>
      </c>
      <c r="L181" s="261">
        <f>"http://roadmapforth.org/downloads/Roadmap12_CFP.pdf"</f>
        <v>0</v>
      </c>
      <c r="M181" s="122"/>
      <c r="N181" s="274" t="s">
        <v>742</v>
      </c>
      <c r="O181" s="104" t="s">
        <v>445</v>
      </c>
      <c r="P181" s="95">
        <f>"https://emc-mec.ca/event/"</f>
        <v>0</v>
      </c>
      <c r="Q181" s="297" t="s">
        <v>54</v>
      </c>
      <c r="R181" s="106" t="s">
        <v>55</v>
      </c>
      <c r="S181" s="11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</row>
    <row r="182" spans="1:64" s="91" customFormat="1" ht="37.5" customHeight="1">
      <c r="A182" s="92"/>
      <c r="B182" s="197"/>
      <c r="C182" s="186"/>
      <c r="D182" s="197"/>
      <c r="E182" s="253"/>
      <c r="F182" s="197"/>
      <c r="G182" s="295"/>
      <c r="H182" s="145"/>
      <c r="I182" s="119"/>
      <c r="J182" s="268"/>
      <c r="K182" s="100"/>
      <c r="L182" s="261"/>
      <c r="M182" s="122"/>
      <c r="N182" s="274"/>
      <c r="O182" s="104" t="s">
        <v>595</v>
      </c>
      <c r="P182" s="95">
        <f>"http://socialenterprises.net/"</f>
        <v>0</v>
      </c>
      <c r="Q182" s="297"/>
      <c r="R182" s="106"/>
      <c r="S182" s="11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</row>
    <row r="183" spans="1:64" s="91" customFormat="1" ht="62.25" customHeight="1">
      <c r="A183" s="92" t="s">
        <v>743</v>
      </c>
      <c r="B183" s="197" t="s">
        <v>744</v>
      </c>
      <c r="C183" s="94">
        <f>"https://www.itscanada.ca/events/event-list.html/its/event-info/details/id/25"</f>
        <v>0</v>
      </c>
      <c r="D183" s="197" t="s">
        <v>745</v>
      </c>
      <c r="E183" s="301" t="s">
        <v>746</v>
      </c>
      <c r="F183" s="197" t="s">
        <v>747</v>
      </c>
      <c r="G183" s="96" t="s">
        <v>748</v>
      </c>
      <c r="H183" s="97"/>
      <c r="I183" s="119"/>
      <c r="J183" s="268"/>
      <c r="K183" s="100"/>
      <c r="L183" s="101"/>
      <c r="M183" s="122"/>
      <c r="N183" s="103"/>
      <c r="O183" s="104" t="s">
        <v>749</v>
      </c>
      <c r="P183" s="197">
        <f>"https://www.itscanada.ca/events/event-list.html"</f>
        <v>0</v>
      </c>
      <c r="Q183" s="105" t="s">
        <v>72</v>
      </c>
      <c r="R183" s="115" t="s">
        <v>73</v>
      </c>
      <c r="S183" s="11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64" s="91" customFormat="1" ht="55.5" customHeight="1">
      <c r="A184" s="92">
        <f>"2019 IEEE Transportation Electrification Conference and Expo (ITEC)"</f>
        <v>0</v>
      </c>
      <c r="B184" s="93" t="s">
        <v>750</v>
      </c>
      <c r="C184" s="94">
        <f>"http://itec-conf.com/"</f>
        <v>0</v>
      </c>
      <c r="D184" s="95" t="s">
        <v>671</v>
      </c>
      <c r="E184" s="109" t="s">
        <v>751</v>
      </c>
      <c r="F184" s="95" t="s">
        <v>471</v>
      </c>
      <c r="G184" s="96" t="s">
        <v>752</v>
      </c>
      <c r="H184" s="97"/>
      <c r="I184" s="98"/>
      <c r="J184" s="112"/>
      <c r="K184" s="100">
        <f>"http://itec-conf.com/contact-us/"</f>
        <v>0</v>
      </c>
      <c r="L184" s="101">
        <f>"https://itec-conf.com/call-for-papers/"</f>
        <v>0</v>
      </c>
      <c r="M184" s="102">
        <f>"Speakers Proposals:  https://itec-conf.com/call-for-speaking-proposals/"</f>
        <v>0</v>
      </c>
      <c r="N184" s="103">
        <f>"Abstracts/Digests:  2018/12/31 re-extended"</f>
        <v>0</v>
      </c>
      <c r="O184" s="265" t="s">
        <v>753</v>
      </c>
      <c r="P184" s="95">
        <f>"http://tec.ieee.org/conferences-workshops"</f>
        <v>0</v>
      </c>
      <c r="Q184" s="266" t="s">
        <v>54</v>
      </c>
      <c r="R184" s="270" t="s">
        <v>55</v>
      </c>
      <c r="S184" s="11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64" s="91" customFormat="1" ht="66" customHeight="1">
      <c r="A185" s="92" t="s">
        <v>754</v>
      </c>
      <c r="B185" s="95" t="s">
        <v>754</v>
      </c>
      <c r="C185" s="197">
        <f>"https://www.newsday.com/lifestyle/long-island-events/steamcon-1.31710451"</f>
        <v>0</v>
      </c>
      <c r="D185" s="95" t="s">
        <v>755</v>
      </c>
      <c r="E185" s="128" t="s">
        <v>756</v>
      </c>
      <c r="F185" s="127" t="s">
        <v>757</v>
      </c>
      <c r="G185" s="203" t="s">
        <v>758</v>
      </c>
      <c r="H185" s="130"/>
      <c r="I185" s="302"/>
      <c r="J185" s="112"/>
      <c r="K185" s="100"/>
      <c r="L185" s="226"/>
      <c r="M185" s="102"/>
      <c r="N185" s="102"/>
      <c r="O185" s="265" t="s">
        <v>209</v>
      </c>
      <c r="P185" s="197">
        <f>"https://teslasciencecenter.org/"</f>
        <v>0</v>
      </c>
      <c r="Q185" s="266" t="s">
        <v>108</v>
      </c>
      <c r="R185" s="270" t="s">
        <v>109</v>
      </c>
      <c r="S185" s="11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64" s="91" customFormat="1" ht="38.25" customHeight="1">
      <c r="A186" s="303">
        <f>"Advanced Automotive &amp; Industrial Battery Conference"</f>
        <v>0</v>
      </c>
      <c r="B186" s="93" t="s">
        <v>759</v>
      </c>
      <c r="C186" s="186">
        <f>"https://www.advancedautobat.com/us/"</f>
        <v>0</v>
      </c>
      <c r="D186" s="197" t="s">
        <v>760</v>
      </c>
      <c r="E186" s="253" t="s">
        <v>761</v>
      </c>
      <c r="F186" s="197" t="s">
        <v>762</v>
      </c>
      <c r="G186" s="295" t="s">
        <v>763</v>
      </c>
      <c r="H186" s="145"/>
      <c r="I186" s="98"/>
      <c r="J186" s="181" t="s">
        <v>764</v>
      </c>
      <c r="K186" s="256">
        <f>"mailto:ce@cambridgeenertech.com"</f>
        <v>0</v>
      </c>
      <c r="L186" s="261">
        <f>"Speaker proposal:  https://www.advancedautobat.com/us/speaker-proposal"</f>
        <v>0</v>
      </c>
      <c r="M186" s="122"/>
      <c r="N186" s="103" t="s">
        <v>765</v>
      </c>
      <c r="O186" s="141" t="s">
        <v>114</v>
      </c>
      <c r="P186" s="95" t="s">
        <v>766</v>
      </c>
      <c r="Q186" s="297" t="s">
        <v>72</v>
      </c>
      <c r="R186" s="115" t="s">
        <v>73</v>
      </c>
      <c r="S186" s="11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64" s="91" customFormat="1" ht="38.25" customHeight="1">
      <c r="A187" s="303"/>
      <c r="B187" s="93"/>
      <c r="C187" s="186"/>
      <c r="D187" s="197"/>
      <c r="E187" s="197"/>
      <c r="F187" s="197"/>
      <c r="G187" s="295"/>
      <c r="H187" s="145"/>
      <c r="I187" s="98"/>
      <c r="J187" s="181">
        <f>"Fax:  781.972.5425"</f>
        <v>0</v>
      </c>
      <c r="K187" s="256">
        <f>"http://www.advancedautobat.com/contact-us/index.php"</f>
        <v>0</v>
      </c>
      <c r="L187" s="261"/>
      <c r="M187" s="122"/>
      <c r="N187" s="103"/>
      <c r="O187" s="104" t="s">
        <v>116</v>
      </c>
      <c r="P187" s="95" t="s">
        <v>117</v>
      </c>
      <c r="Q187" s="297"/>
      <c r="R187" s="115"/>
      <c r="S187" s="11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64" s="91" customFormat="1" ht="45.75" customHeight="1">
      <c r="A188" s="303" t="s">
        <v>767</v>
      </c>
      <c r="B188" s="93" t="s">
        <v>768</v>
      </c>
      <c r="C188" s="186">
        <f>"https://www.volpe.dot.gov/event/laura-schewel-new-mobility"</f>
        <v>0</v>
      </c>
      <c r="D188" s="95" t="s">
        <v>598</v>
      </c>
      <c r="E188" s="109" t="s">
        <v>769</v>
      </c>
      <c r="F188" s="95" t="s">
        <v>770</v>
      </c>
      <c r="G188" s="276"/>
      <c r="H188" s="277" t="s">
        <v>771</v>
      </c>
      <c r="I188" s="98" t="s">
        <v>602</v>
      </c>
      <c r="J188" s="268" t="s">
        <v>603</v>
      </c>
      <c r="K188" s="100" t="s">
        <v>604</v>
      </c>
      <c r="L188" s="113">
        <f>"You must register -- Registration Information:  https://www.volpe.dot.gov/events/how-to-attend"</f>
        <v>0</v>
      </c>
      <c r="M188" s="262">
        <f>"Series:  &amp;ldqo;Our New Mobility Future&amp;rdqo; Thought Leadership Series:  https://www.volpe.dot.gov/events/our-new-mobility-future"</f>
        <v>0</v>
      </c>
      <c r="N188" s="278"/>
      <c r="O188" s="104" t="s">
        <v>605</v>
      </c>
      <c r="P188" s="95" t="s">
        <v>606</v>
      </c>
      <c r="Q188" s="297" t="s">
        <v>607</v>
      </c>
      <c r="R188" s="106" t="s">
        <v>55</v>
      </c>
      <c r="S188" s="11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64" s="91" customFormat="1" ht="45.75" customHeight="1">
      <c r="A189" s="303"/>
      <c r="B189" s="93"/>
      <c r="C189" s="186"/>
      <c r="D189" s="95"/>
      <c r="E189" s="109"/>
      <c r="F189" s="95"/>
      <c r="G189" s="276"/>
      <c r="H189" s="277"/>
      <c r="I189" s="98"/>
      <c r="J189" s="268"/>
      <c r="K189" s="100"/>
      <c r="L189" s="113">
        <f>"Free reservation page: https://volpe-events.webex.com/mw3300/mywebex/default.do?siteurl=volpe-events"</f>
        <v>0</v>
      </c>
      <c r="M189" s="262"/>
      <c r="N189" s="278"/>
      <c r="O189" s="183" t="s">
        <v>608</v>
      </c>
      <c r="P189" s="279">
        <f>"https://www.volpe.dot.gov/upcoming-events"</f>
        <v>0</v>
      </c>
      <c r="Q189" s="297"/>
      <c r="R189" s="106"/>
      <c r="S189" s="11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</row>
    <row r="190" spans="1:64" s="91" customFormat="1" ht="54" customHeight="1">
      <c r="A190" s="303" t="s">
        <v>772</v>
      </c>
      <c r="B190" s="93" t="s">
        <v>773</v>
      </c>
      <c r="C190" s="186">
        <f>"https://teslasciencecenter.org/events/tour-of-wardenclyffe/"</f>
        <v>0</v>
      </c>
      <c r="D190" s="95" t="s">
        <v>774</v>
      </c>
      <c r="E190" s="109" t="s">
        <v>775</v>
      </c>
      <c r="F190" s="95" t="s">
        <v>776</v>
      </c>
      <c r="G190" s="230" t="s">
        <v>777</v>
      </c>
      <c r="H190" s="188"/>
      <c r="I190" s="190">
        <f>"Member tickets:  https://teslasciencecenter.z2systems.com/np/clients/teslasciencecenter/eventregistration.jsp?event=177&amp;"</f>
        <v>0</v>
      </c>
      <c r="J190" s="190"/>
      <c r="K190" s="189">
        <f>"Regular Tickets:  https://teslasciencecenter.z2systems.com/np/clients/teslasciencecenter/eventRegistration.jsp?event=198&amp;"</f>
        <v>0</v>
      </c>
      <c r="L190" s="190">
        <f>"Directions:  https://www.google.com/maps/place/Tesla+Science+Center/@40.9478097,-72.9000289,15z/data=!4m5!3m4!1s0x0:0x989987c8c0ed68cb!8m2!3d40.9478097!4d-72.9000289"</f>
        <v>0</v>
      </c>
      <c r="M190" s="262"/>
      <c r="N190" s="278">
        <f>"$15 members; non-mem- bers: $18 students/seniors   $20 others"</f>
        <v>0</v>
      </c>
      <c r="O190" s="104" t="s">
        <v>209</v>
      </c>
      <c r="P190" s="197" t="s">
        <v>642</v>
      </c>
      <c r="Q190" s="297" t="s">
        <v>108</v>
      </c>
      <c r="R190" s="106" t="s">
        <v>109</v>
      </c>
      <c r="S190" s="11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64" s="91" customFormat="1" ht="35.25" customHeight="1">
      <c r="A191" s="303"/>
      <c r="B191" s="93"/>
      <c r="C191" s="186"/>
      <c r="D191" s="95"/>
      <c r="E191" s="95" t="s">
        <v>778</v>
      </c>
      <c r="F191" s="95"/>
      <c r="G191" s="230"/>
      <c r="H191" s="188"/>
      <c r="I191" s="190"/>
      <c r="J191" s="190"/>
      <c r="K191" s="189"/>
      <c r="L191" s="190"/>
      <c r="M191" s="262"/>
      <c r="N191" s="278"/>
      <c r="O191" s="104"/>
      <c r="P191" s="197"/>
      <c r="Q191" s="297"/>
      <c r="R191" s="106"/>
      <c r="S191" s="11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64" s="91" customFormat="1" ht="35.25" customHeight="1">
      <c r="A192" s="303" t="s">
        <v>779</v>
      </c>
      <c r="B192" s="197" t="s">
        <v>780</v>
      </c>
      <c r="C192" s="186">
        <f>"https://ldia2019.epfl.ch/"</f>
        <v>0</v>
      </c>
      <c r="D192" s="197" t="s">
        <v>781</v>
      </c>
      <c r="E192" s="253" t="s">
        <v>782</v>
      </c>
      <c r="F192" s="197" t="s">
        <v>783</v>
      </c>
      <c r="G192" s="295" t="s">
        <v>784</v>
      </c>
      <c r="H192" s="145"/>
      <c r="I192" s="98"/>
      <c r="J192" s="268"/>
      <c r="K192" s="100">
        <f>"https://ldia2019.epfl.ch/page-146119-en-html/"</f>
        <v>0</v>
      </c>
      <c r="L192" s="113">
        <f>"https://ldia2019.epfl.ch/author-509/page-146133-en-html/"</f>
        <v>0</v>
      </c>
      <c r="M192" s="122"/>
      <c r="N192" s="103" t="s">
        <v>785</v>
      </c>
      <c r="O192" s="104"/>
      <c r="P192" s="197"/>
      <c r="Q192" s="297" t="s">
        <v>72</v>
      </c>
      <c r="R192" s="115" t="s">
        <v>73</v>
      </c>
      <c r="S192" s="11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s="91" customFormat="1" ht="35.25" customHeight="1">
      <c r="A193" s="303"/>
      <c r="B193" s="197"/>
      <c r="C193" s="186"/>
      <c r="D193" s="197"/>
      <c r="E193" s="253"/>
      <c r="F193" s="197"/>
      <c r="G193" s="295"/>
      <c r="H193" s="145"/>
      <c r="I193" s="98"/>
      <c r="J193" s="268"/>
      <c r="K193" s="100"/>
      <c r="L193" s="113">
        <f>"https://ldia2019.epfl.ch/wp-content/uploads/2018/08/LDIA_call_papers.pdf"</f>
        <v>0</v>
      </c>
      <c r="M193" s="122"/>
      <c r="N193" s="103"/>
      <c r="O193" s="104"/>
      <c r="P193" s="197"/>
      <c r="Q193" s="297"/>
      <c r="R193" s="115"/>
      <c r="S193" s="11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64" s="91" customFormat="1" ht="66.75" customHeight="1">
      <c r="A194" s="92" t="s">
        <v>786</v>
      </c>
      <c r="B194" s="197">
        <f>"Count-EVs"</f>
        <v>0</v>
      </c>
      <c r="C194" s="94">
        <f>"https://pluginamerica.org/help-us-count-evs-from-coast-to-coast-on-independence-day/"</f>
        <v>0</v>
      </c>
      <c r="D194" s="197"/>
      <c r="E194" s="301" t="s">
        <v>787</v>
      </c>
      <c r="F194" s="197" t="s">
        <v>788</v>
      </c>
      <c r="G194" s="304" t="s">
        <v>789</v>
      </c>
      <c r="H194" s="145"/>
      <c r="I194" s="98"/>
      <c r="J194" s="268"/>
      <c r="K194" s="100"/>
      <c r="L194" s="113"/>
      <c r="M194" s="122"/>
      <c r="N194" s="103"/>
      <c r="O194" s="104" t="s">
        <v>106</v>
      </c>
      <c r="P194" s="95" t="s">
        <v>790</v>
      </c>
      <c r="Q194" s="105" t="s">
        <v>108</v>
      </c>
      <c r="R194" s="106" t="s">
        <v>109</v>
      </c>
      <c r="S194" s="11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64" s="91" customFormat="1" ht="41.25" customHeight="1">
      <c r="A195" s="303" t="s">
        <v>791</v>
      </c>
      <c r="B195" s="93" t="s">
        <v>792</v>
      </c>
      <c r="C195" s="186">
        <f>"https://www.volpe.dot.gov/events/bryan-mistele-new-mobility"</f>
        <v>0</v>
      </c>
      <c r="D195" s="95" t="s">
        <v>598</v>
      </c>
      <c r="E195" s="109" t="s">
        <v>793</v>
      </c>
      <c r="F195" s="95" t="s">
        <v>794</v>
      </c>
      <c r="G195" s="295" t="s">
        <v>795</v>
      </c>
      <c r="H195" s="296" t="s">
        <v>796</v>
      </c>
      <c r="I195" s="98" t="s">
        <v>602</v>
      </c>
      <c r="J195" s="268" t="s">
        <v>603</v>
      </c>
      <c r="K195" s="100" t="s">
        <v>604</v>
      </c>
      <c r="L195" s="113">
        <f>"You must register -- Registration Information:  https://www.volpe.dot.gov/events/how-to-attend"</f>
        <v>0</v>
      </c>
      <c r="M195" s="262">
        <f>"Series:  &amp;ldqo;Our New Mobility Future&amp;rdqo; Thought Leadership Series:  https://www.volpe.dot.gov/events/our-new-mobility-future"</f>
        <v>0</v>
      </c>
      <c r="N195" s="278"/>
      <c r="O195" s="104" t="s">
        <v>605</v>
      </c>
      <c r="P195" s="197" t="s">
        <v>606</v>
      </c>
      <c r="Q195" s="297" t="s">
        <v>607</v>
      </c>
      <c r="R195" s="106" t="s">
        <v>55</v>
      </c>
      <c r="S195" s="11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64" s="91" customFormat="1" ht="47.25" customHeight="1">
      <c r="A196" s="303"/>
      <c r="B196" s="93"/>
      <c r="C196" s="186"/>
      <c r="D196" s="95"/>
      <c r="E196" s="109"/>
      <c r="F196" s="95"/>
      <c r="G196" s="295"/>
      <c r="H196" s="296"/>
      <c r="I196" s="98"/>
      <c r="J196" s="268"/>
      <c r="K196" s="100"/>
      <c r="L196" s="113">
        <f>"Free reservation page: https://volpe-events.webex.com/mw3300/mywebex/default.do?siteurl=volpe-events"</f>
        <v>0</v>
      </c>
      <c r="M196" s="262"/>
      <c r="N196" s="278"/>
      <c r="O196" s="183" t="s">
        <v>608</v>
      </c>
      <c r="P196" s="279">
        <f>"https://www.volpe.dot.gov/upcoming-events"</f>
        <v>0</v>
      </c>
      <c r="Q196" s="297"/>
      <c r="R196" s="106"/>
      <c r="S196" s="11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64" s="91" customFormat="1" ht="32.25" customHeight="1">
      <c r="A197" s="92" t="s">
        <v>797</v>
      </c>
      <c r="B197" s="93" t="s">
        <v>798</v>
      </c>
      <c r="C197" s="186">
        <f>"https://event.webcasts.com/starthere.jsp?ei=1247233&amp;tp_key=e6da1ef653"</f>
        <v>0</v>
      </c>
      <c r="D197" s="95"/>
      <c r="E197" s="109" t="s">
        <v>799</v>
      </c>
      <c r="F197" s="95" t="s">
        <v>800</v>
      </c>
      <c r="G197" s="96" t="s">
        <v>801</v>
      </c>
      <c r="H197" s="305" t="s">
        <v>802</v>
      </c>
      <c r="I197" s="98"/>
      <c r="J197" s="112"/>
      <c r="K197" s="154"/>
      <c r="L197" s="121"/>
      <c r="M197" s="122"/>
      <c r="N197" s="103"/>
      <c r="O197" s="104" t="s">
        <v>53</v>
      </c>
      <c r="P197" s="95">
        <f>"https://www.sae.org/webcasts"</f>
        <v>0</v>
      </c>
      <c r="Q197" s="105" t="s">
        <v>72</v>
      </c>
      <c r="R197" s="115" t="s">
        <v>73</v>
      </c>
      <c r="S197" s="306"/>
      <c r="T197" s="307"/>
      <c r="U197" s="307"/>
      <c r="V197" s="307"/>
      <c r="W197" s="307"/>
      <c r="X197" s="307"/>
      <c r="Y197" s="307"/>
      <c r="Z197" s="307"/>
      <c r="AA197" s="307"/>
      <c r="AB197" s="307"/>
      <c r="AC197" s="307"/>
      <c r="AD197" s="307"/>
      <c r="AE197" s="307"/>
      <c r="AF197" s="307"/>
      <c r="AG197" s="307"/>
      <c r="AH197" s="307"/>
      <c r="AI197" s="307"/>
      <c r="AJ197" s="307"/>
      <c r="AK197" s="307"/>
      <c r="AL197" s="307"/>
      <c r="AM197" s="307"/>
      <c r="AN197" s="307"/>
      <c r="AO197" s="307"/>
      <c r="AP197" s="307"/>
      <c r="AQ197" s="307"/>
      <c r="AR197" s="307"/>
      <c r="AS197" s="307"/>
      <c r="AT197" s="307"/>
      <c r="AU197" s="307"/>
      <c r="AV197" s="307"/>
      <c r="AW197" s="307"/>
      <c r="AX197" s="307"/>
      <c r="AY197" s="307"/>
      <c r="AZ197" s="307"/>
      <c r="BA197" s="307"/>
      <c r="BB197" s="307"/>
      <c r="BC197" s="307"/>
      <c r="BD197" s="307"/>
      <c r="BE197" s="307"/>
      <c r="BF197" s="307"/>
      <c r="BG197" s="307"/>
      <c r="BH197" s="307"/>
      <c r="BI197" s="307"/>
      <c r="BJ197" s="307"/>
      <c r="BK197" s="307"/>
      <c r="BL197" s="307"/>
    </row>
    <row r="198" spans="1:64" s="91" customFormat="1" ht="41.25" customHeight="1">
      <c r="A198" s="92"/>
      <c r="B198" s="93"/>
      <c r="C198" s="186"/>
      <c r="D198" s="95"/>
      <c r="E198" s="109"/>
      <c r="F198" s="95"/>
      <c r="G198" s="96"/>
      <c r="H198" s="153" t="s">
        <v>803</v>
      </c>
      <c r="I198" s="98"/>
      <c r="J198" s="112"/>
      <c r="K198" s="154"/>
      <c r="L198" s="121"/>
      <c r="M198" s="122"/>
      <c r="N198" s="103"/>
      <c r="O198" s="104"/>
      <c r="P198" s="95"/>
      <c r="Q198" s="105"/>
      <c r="R198" s="115"/>
      <c r="S198" s="306"/>
      <c r="T198" s="307"/>
      <c r="U198" s="307"/>
      <c r="V198" s="307"/>
      <c r="W198" s="307"/>
      <c r="X198" s="307"/>
      <c r="Y198" s="307"/>
      <c r="Z198" s="307"/>
      <c r="AA198" s="307"/>
      <c r="AB198" s="307"/>
      <c r="AC198" s="307"/>
      <c r="AD198" s="307"/>
      <c r="AE198" s="307"/>
      <c r="AF198" s="307"/>
      <c r="AG198" s="307"/>
      <c r="AH198" s="307"/>
      <c r="AI198" s="307"/>
      <c r="AJ198" s="307"/>
      <c r="AK198" s="307"/>
      <c r="AL198" s="307"/>
      <c r="AM198" s="307"/>
      <c r="AN198" s="307"/>
      <c r="AO198" s="307"/>
      <c r="AP198" s="307"/>
      <c r="AQ198" s="307"/>
      <c r="AR198" s="307"/>
      <c r="AS198" s="307"/>
      <c r="AT198" s="307"/>
      <c r="AU198" s="307"/>
      <c r="AV198" s="307"/>
      <c r="AW198" s="307"/>
      <c r="AX198" s="307"/>
      <c r="AY198" s="307"/>
      <c r="AZ198" s="307"/>
      <c r="BA198" s="307"/>
      <c r="BB198" s="307"/>
      <c r="BC198" s="307"/>
      <c r="BD198" s="307"/>
      <c r="BE198" s="307"/>
      <c r="BF198" s="307"/>
      <c r="BG198" s="307"/>
      <c r="BH198" s="307"/>
      <c r="BI198" s="307"/>
      <c r="BJ198" s="307"/>
      <c r="BK198" s="307"/>
      <c r="BL198" s="307"/>
    </row>
    <row r="199" spans="1:64" s="91" customFormat="1" ht="20.25" customHeight="1">
      <c r="A199" s="92"/>
      <c r="B199" s="93"/>
      <c r="C199" s="186"/>
      <c r="D199" s="95"/>
      <c r="E199" s="109"/>
      <c r="F199" s="95"/>
      <c r="G199" s="96"/>
      <c r="H199" s="158" t="s">
        <v>490</v>
      </c>
      <c r="I199" s="98"/>
      <c r="J199" s="112"/>
      <c r="K199" s="154"/>
      <c r="L199" s="121"/>
      <c r="M199" s="122"/>
      <c r="N199" s="103"/>
      <c r="O199" s="104"/>
      <c r="P199" s="95"/>
      <c r="Q199" s="105"/>
      <c r="R199" s="115"/>
      <c r="S199" s="306"/>
      <c r="T199" s="307"/>
      <c r="U199" s="307"/>
      <c r="V199" s="307"/>
      <c r="W199" s="307"/>
      <c r="X199" s="307"/>
      <c r="Y199" s="307"/>
      <c r="Z199" s="307"/>
      <c r="AA199" s="307"/>
      <c r="AB199" s="307"/>
      <c r="AC199" s="307"/>
      <c r="AD199" s="307"/>
      <c r="AE199" s="307"/>
      <c r="AF199" s="307"/>
      <c r="AG199" s="307"/>
      <c r="AH199" s="307"/>
      <c r="AI199" s="307"/>
      <c r="AJ199" s="307"/>
      <c r="AK199" s="307"/>
      <c r="AL199" s="307"/>
      <c r="AM199" s="307"/>
      <c r="AN199" s="307"/>
      <c r="AO199" s="307"/>
      <c r="AP199" s="307"/>
      <c r="AQ199" s="307"/>
      <c r="AR199" s="307"/>
      <c r="AS199" s="307"/>
      <c r="AT199" s="307"/>
      <c r="AU199" s="307"/>
      <c r="AV199" s="307"/>
      <c r="AW199" s="307"/>
      <c r="AX199" s="307"/>
      <c r="AY199" s="307"/>
      <c r="AZ199" s="307"/>
      <c r="BA199" s="307"/>
      <c r="BB199" s="307"/>
      <c r="BC199" s="307"/>
      <c r="BD199" s="307"/>
      <c r="BE199" s="307"/>
      <c r="BF199" s="307"/>
      <c r="BG199" s="307"/>
      <c r="BH199" s="307"/>
      <c r="BI199" s="307"/>
      <c r="BJ199" s="307"/>
      <c r="BK199" s="307"/>
      <c r="BL199" s="307"/>
    </row>
    <row r="200" spans="1:64" s="91" customFormat="1" ht="43.5" customHeight="1">
      <c r="A200" s="92" t="s">
        <v>804</v>
      </c>
      <c r="B200" s="93" t="s">
        <v>805</v>
      </c>
      <c r="C200" s="186">
        <f>"https://teslasciencecenter.org/events/2019-tesla-birthday-expo/"</f>
        <v>0</v>
      </c>
      <c r="D200" s="95" t="s">
        <v>774</v>
      </c>
      <c r="E200" s="109" t="s">
        <v>806</v>
      </c>
      <c r="F200" s="95" t="s">
        <v>807</v>
      </c>
      <c r="G200" s="96" t="s">
        <v>808</v>
      </c>
      <c r="H200" s="308">
        <f>"Member tickets:  https://teslasciencecenter.z2systems.com/np/clients/teslasciencecenter/eventRegistration.jsp?event=223&amp;"</f>
        <v>0</v>
      </c>
      <c r="I200" s="190">
        <f>"Tickets:  https://teslasciencecenter.z2systems.com/np/clients/teslasciencecenter/eventRegistration.jsp?event=218&amp;"</f>
        <v>0</v>
      </c>
      <c r="J200" s="190"/>
      <c r="K200" s="309" t="s">
        <v>809</v>
      </c>
      <c r="L200" s="121"/>
      <c r="M200" s="122"/>
      <c r="N200" s="103"/>
      <c r="O200" s="149" t="s">
        <v>209</v>
      </c>
      <c r="P200" s="155" t="s">
        <v>642</v>
      </c>
      <c r="Q200" s="309" t="s">
        <v>108</v>
      </c>
      <c r="R200" s="284" t="s">
        <v>109</v>
      </c>
      <c r="S200" s="306"/>
      <c r="T200" s="307"/>
      <c r="U200" s="307"/>
      <c r="V200" s="307"/>
      <c r="W200" s="307"/>
      <c r="X200" s="307"/>
      <c r="Y200" s="307"/>
      <c r="Z200" s="307"/>
      <c r="AA200" s="307"/>
      <c r="AB200" s="307"/>
      <c r="AC200" s="307"/>
      <c r="AD200" s="307"/>
      <c r="AE200" s="307"/>
      <c r="AF200" s="307"/>
      <c r="AG200" s="307"/>
      <c r="AH200" s="307"/>
      <c r="AI200" s="307"/>
      <c r="AJ200" s="307"/>
      <c r="AK200" s="307"/>
      <c r="AL200" s="307"/>
      <c r="AM200" s="307"/>
      <c r="AN200" s="307"/>
      <c r="AO200" s="307"/>
      <c r="AP200" s="307"/>
      <c r="AQ200" s="307"/>
      <c r="AR200" s="307"/>
      <c r="AS200" s="307"/>
      <c r="AT200" s="307"/>
      <c r="AU200" s="307"/>
      <c r="AV200" s="307"/>
      <c r="AW200" s="307"/>
      <c r="AX200" s="307"/>
      <c r="AY200" s="307"/>
      <c r="AZ200" s="307"/>
      <c r="BA200" s="307"/>
      <c r="BB200" s="307"/>
      <c r="BC200" s="307"/>
      <c r="BD200" s="307"/>
      <c r="BE200" s="307"/>
      <c r="BF200" s="307"/>
      <c r="BG200" s="307"/>
      <c r="BH200" s="307"/>
      <c r="BI200" s="307"/>
      <c r="BJ200" s="307"/>
      <c r="BK200" s="307"/>
      <c r="BL200" s="307"/>
    </row>
    <row r="201" spans="1:64" s="91" customFormat="1" ht="43.5" customHeight="1">
      <c r="A201" s="92"/>
      <c r="B201" s="93"/>
      <c r="C201" s="186"/>
      <c r="D201" s="95"/>
      <c r="E201" s="109"/>
      <c r="F201" s="95" t="s">
        <v>810</v>
      </c>
      <c r="G201" s="96"/>
      <c r="H201" s="308"/>
      <c r="I201" s="190"/>
      <c r="J201" s="190"/>
      <c r="K201" s="309"/>
      <c r="L201" s="121"/>
      <c r="M201" s="122"/>
      <c r="N201" s="103"/>
      <c r="O201" s="149"/>
      <c r="P201" s="155"/>
      <c r="Q201" s="309"/>
      <c r="R201" s="284"/>
      <c r="S201" s="306"/>
      <c r="T201" s="307"/>
      <c r="U201" s="307"/>
      <c r="V201" s="307"/>
      <c r="W201" s="307"/>
      <c r="X201" s="307"/>
      <c r="Y201" s="307"/>
      <c r="Z201" s="307"/>
      <c r="AA201" s="307"/>
      <c r="AB201" s="307"/>
      <c r="AC201" s="307"/>
      <c r="AD201" s="307"/>
      <c r="AE201" s="307"/>
      <c r="AF201" s="307"/>
      <c r="AG201" s="307"/>
      <c r="AH201" s="307"/>
      <c r="AI201" s="307"/>
      <c r="AJ201" s="307"/>
      <c r="AK201" s="307"/>
      <c r="AL201" s="307"/>
      <c r="AM201" s="307"/>
      <c r="AN201" s="307"/>
      <c r="AO201" s="307"/>
      <c r="AP201" s="307"/>
      <c r="AQ201" s="307"/>
      <c r="AR201" s="307"/>
      <c r="AS201" s="307"/>
      <c r="AT201" s="307"/>
      <c r="AU201" s="307"/>
      <c r="AV201" s="307"/>
      <c r="AW201" s="307"/>
      <c r="AX201" s="307"/>
      <c r="AY201" s="307"/>
      <c r="AZ201" s="307"/>
      <c r="BA201" s="307"/>
      <c r="BB201" s="307"/>
      <c r="BC201" s="307"/>
      <c r="BD201" s="307"/>
      <c r="BE201" s="307"/>
      <c r="BF201" s="307"/>
      <c r="BG201" s="307"/>
      <c r="BH201" s="307"/>
      <c r="BI201" s="307"/>
      <c r="BJ201" s="307"/>
      <c r="BK201" s="307"/>
      <c r="BL201" s="307"/>
    </row>
    <row r="202" spans="1:64" ht="46.5" customHeight="1">
      <c r="A202" s="92"/>
      <c r="B202" s="93"/>
      <c r="C202" s="186"/>
      <c r="D202" s="95"/>
      <c r="E202" s="95"/>
      <c r="F202" s="157" t="s">
        <v>811</v>
      </c>
      <c r="G202" s="96"/>
      <c r="H202" s="308"/>
      <c r="I202" s="190"/>
      <c r="J202" s="190"/>
      <c r="K202" s="309"/>
      <c r="L202" s="121"/>
      <c r="M202" s="122"/>
      <c r="N202" s="103"/>
      <c r="O202" s="149"/>
      <c r="P202" s="155"/>
      <c r="Q202" s="309"/>
      <c r="R202" s="284"/>
      <c r="S202" s="306"/>
      <c r="T202" s="307"/>
      <c r="U202" s="307"/>
      <c r="V202" s="307"/>
      <c r="W202" s="307"/>
      <c r="X202" s="307"/>
      <c r="Y202" s="307"/>
      <c r="Z202" s="307"/>
      <c r="AA202" s="307"/>
      <c r="AB202" s="307"/>
      <c r="AC202" s="307"/>
      <c r="AD202" s="307"/>
      <c r="AE202" s="307"/>
      <c r="AF202" s="307"/>
      <c r="AG202" s="307"/>
      <c r="AH202" s="307"/>
      <c r="AI202" s="307"/>
      <c r="AJ202" s="307"/>
      <c r="AK202" s="307"/>
      <c r="AL202" s="307"/>
      <c r="AM202" s="307"/>
      <c r="AN202" s="307"/>
      <c r="AO202" s="307"/>
      <c r="AP202" s="307"/>
      <c r="AQ202" s="307"/>
      <c r="AR202" s="307"/>
      <c r="AS202" s="307"/>
      <c r="AT202" s="307"/>
      <c r="AU202" s="307"/>
      <c r="AV202" s="307"/>
      <c r="AW202" s="307"/>
      <c r="AX202" s="307"/>
      <c r="AY202" s="307"/>
      <c r="AZ202" s="307"/>
      <c r="BA202" s="307"/>
      <c r="BB202" s="307"/>
      <c r="BC202" s="307"/>
      <c r="BD202" s="307"/>
      <c r="BE202" s="307"/>
      <c r="BF202" s="307"/>
      <c r="BG202" s="307"/>
      <c r="BH202" s="307"/>
      <c r="BI202" s="307"/>
      <c r="BJ202" s="307"/>
      <c r="BK202" s="307"/>
      <c r="BL202" s="307"/>
    </row>
    <row r="203" spans="1:64" s="91" customFormat="1" ht="40.5" customHeight="1">
      <c r="A203" s="92" t="s">
        <v>56</v>
      </c>
      <c r="B203" s="93" t="s">
        <v>812</v>
      </c>
      <c r="C203" s="94">
        <f>"http://transportationcamp.org/events/la2019/"</f>
        <v>0</v>
      </c>
      <c r="D203" s="95" t="s">
        <v>813</v>
      </c>
      <c r="E203" s="109" t="s">
        <v>814</v>
      </c>
      <c r="F203" s="95" t="s">
        <v>61</v>
      </c>
      <c r="G203" s="96"/>
      <c r="H203" s="97"/>
      <c r="I203" s="98"/>
      <c r="J203" s="99"/>
      <c r="K203" s="189">
        <f>"Series link:  http://transportationcamp.org/"</f>
        <v>0</v>
      </c>
      <c r="L203" s="101">
        <f>"Essential guide:  http://transportationcamp.org/2011/02/how-transportationcamp-works-the-essential-guide/"</f>
        <v>0</v>
      </c>
      <c r="M203" s="101"/>
      <c r="N203" s="103"/>
      <c r="O203" s="104"/>
      <c r="P203" s="95"/>
      <c r="Q203" s="105" t="s">
        <v>54</v>
      </c>
      <c r="R203" s="106" t="s">
        <v>63</v>
      </c>
      <c r="S203" s="11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64" ht="50.25" customHeight="1">
      <c r="A204" s="92" t="s">
        <v>815</v>
      </c>
      <c r="B204" s="93" t="s">
        <v>816</v>
      </c>
      <c r="C204" s="94">
        <f>"Still on 2018:  http://www.automatedvehiclessymposium.org/home"</f>
        <v>0</v>
      </c>
      <c r="D204" s="95" t="s">
        <v>335</v>
      </c>
      <c r="E204" s="109" t="s">
        <v>817</v>
      </c>
      <c r="F204" s="95" t="s">
        <v>818</v>
      </c>
      <c r="G204" s="96" t="s">
        <v>819</v>
      </c>
      <c r="H204" s="97"/>
      <c r="I204" s="98"/>
      <c r="J204" s="112"/>
      <c r="K204" s="310">
        <f>"http://www.automatedvehiclessymposium.org/new-item1"</f>
        <v>0</v>
      </c>
      <c r="L204" s="258">
        <f>"Call for Posters:  http://www.automatedvehiclessymposium.org/avs2018/program/call-for-posters"</f>
        <v>0</v>
      </c>
      <c r="M204" s="289">
        <f>"https://avs18posters.secure-platform.com/a"</f>
        <v>0</v>
      </c>
      <c r="N204" s="290" t="s">
        <v>820</v>
      </c>
      <c r="O204" s="265" t="s">
        <v>53</v>
      </c>
      <c r="P204" s="95" t="s">
        <v>91</v>
      </c>
      <c r="Q204" s="266" t="s">
        <v>72</v>
      </c>
      <c r="R204" s="267" t="s">
        <v>73</v>
      </c>
      <c r="S204" s="11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ht="66" customHeight="1">
      <c r="A205" s="92"/>
      <c r="B205" s="93"/>
      <c r="C205" s="94">
        <f>"https://www.auvsi.org/events/automated-vehicles-symposium/automated-vehicles-symposium-2019"</f>
        <v>0</v>
      </c>
      <c r="D205" s="95"/>
      <c r="E205" s="109"/>
      <c r="F205" s="95"/>
      <c r="G205" s="96"/>
      <c r="H205" s="97"/>
      <c r="I205" s="98"/>
      <c r="J205" s="112"/>
      <c r="K205" s="100">
        <f>"mailto:meetings@auvsi.org"</f>
        <v>0</v>
      </c>
      <c r="L205" s="258"/>
      <c r="M205" s="289"/>
      <c r="N205" s="290"/>
      <c r="O205" s="265"/>
      <c r="P205" s="95"/>
      <c r="Q205" s="266"/>
      <c r="R205" s="267"/>
      <c r="S205" s="11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ht="41.25" customHeight="1">
      <c r="A206" s="92"/>
      <c r="B206" s="93"/>
      <c r="C206" s="94">
        <f>"Alt:  https://www.auvsi.org/tags/research"</f>
        <v>0</v>
      </c>
      <c r="D206" s="95"/>
      <c r="E206" s="109"/>
      <c r="F206" s="95"/>
      <c r="G206" s="96"/>
      <c r="H206" s="97"/>
      <c r="I206" s="98"/>
      <c r="J206" s="112"/>
      <c r="K206" s="310">
        <f>"http://www.automatedvehiclessymposium.org/contact"</f>
        <v>0</v>
      </c>
      <c r="L206" s="258"/>
      <c r="M206" s="289"/>
      <c r="N206" s="290"/>
      <c r="O206" s="265"/>
      <c r="P206" s="95"/>
      <c r="Q206" s="266"/>
      <c r="R206" s="267"/>
      <c r="S206" s="11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ht="59.25" customHeight="1">
      <c r="A207" s="92"/>
      <c r="B207" s="93"/>
      <c r="C207" s="94">
        <f>"Outside party:  https://www.inframix.eu/event/automated-vehicles-symposium-2019/"</f>
        <v>0</v>
      </c>
      <c r="D207" s="95"/>
      <c r="E207" s="109"/>
      <c r="F207" s="95"/>
      <c r="G207" s="96"/>
      <c r="H207" s="97"/>
      <c r="I207" s="98"/>
      <c r="J207" s="112"/>
      <c r="K207" s="310"/>
      <c r="L207" s="311" t="s">
        <v>821</v>
      </c>
      <c r="M207" s="289" t="s">
        <v>822</v>
      </c>
      <c r="N207" s="290"/>
      <c r="O207" s="265"/>
      <c r="P207" s="95"/>
      <c r="Q207" s="266"/>
      <c r="R207" s="267"/>
      <c r="S207" s="11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64" ht="69.75" customHeight="1">
      <c r="A208" s="92"/>
      <c r="B208" s="93"/>
      <c r="C208" s="94">
        <f>"Outside party:  https://www.bestrade.co/en/tradeshow/2820-automated-vehicles-symposium.html"</f>
        <v>0</v>
      </c>
      <c r="D208" s="95"/>
      <c r="E208" s="109"/>
      <c r="F208" s="95"/>
      <c r="G208" s="96"/>
      <c r="H208" s="97"/>
      <c r="I208" s="98"/>
      <c r="J208" s="112"/>
      <c r="K208" s="310"/>
      <c r="L208" s="311"/>
      <c r="M208" s="289"/>
      <c r="N208" s="290"/>
      <c r="O208" s="265"/>
      <c r="P208" s="95"/>
      <c r="Q208" s="266"/>
      <c r="R208" s="267"/>
      <c r="S208" s="11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64" s="91" customFormat="1" ht="30" customHeight="1">
      <c r="A209" s="303" t="s">
        <v>823</v>
      </c>
      <c r="B209" s="93" t="s">
        <v>824</v>
      </c>
      <c r="C209" s="186">
        <f>"http://plugvolt.com/seminars/"</f>
        <v>0</v>
      </c>
      <c r="D209" s="197" t="s">
        <v>825</v>
      </c>
      <c r="E209" s="253" t="s">
        <v>826</v>
      </c>
      <c r="F209" s="197" t="s">
        <v>827</v>
      </c>
      <c r="G209" s="295" t="s">
        <v>828</v>
      </c>
      <c r="H209" s="145"/>
      <c r="I209" s="98"/>
      <c r="J209" s="268"/>
      <c r="K209" s="100"/>
      <c r="L209" s="261"/>
      <c r="M209" s="262"/>
      <c r="N209" s="274"/>
      <c r="O209" s="265" t="s">
        <v>99</v>
      </c>
      <c r="P209" s="95" t="s">
        <v>829</v>
      </c>
      <c r="Q209" s="266" t="s">
        <v>72</v>
      </c>
      <c r="R209" s="267" t="s">
        <v>73</v>
      </c>
      <c r="S209" s="11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64" s="91" customFormat="1" ht="42.75" customHeight="1">
      <c r="A210" s="303"/>
      <c r="B210" s="93"/>
      <c r="C210" s="186"/>
      <c r="D210" s="197"/>
      <c r="E210" s="197"/>
      <c r="F210" s="197"/>
      <c r="G210" s="295"/>
      <c r="H210" s="145"/>
      <c r="I210" s="98"/>
      <c r="J210" s="268"/>
      <c r="K210" s="100"/>
      <c r="L210" s="261"/>
      <c r="M210" s="262"/>
      <c r="N210" s="274"/>
      <c r="O210" s="265"/>
      <c r="P210" s="95">
        <f>"http://plugvolt.com/seminars/"</f>
        <v>0</v>
      </c>
      <c r="Q210" s="266"/>
      <c r="R210" s="267"/>
      <c r="S210" s="11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64" s="91" customFormat="1" ht="58.5" customHeight="1">
      <c r="A211" s="303" t="s">
        <v>830</v>
      </c>
      <c r="B211" s="93" t="s">
        <v>831</v>
      </c>
      <c r="C211" s="186">
        <f>"https://www.incose.org/symp2019/home"</f>
        <v>0</v>
      </c>
      <c r="D211" s="197" t="s">
        <v>335</v>
      </c>
      <c r="E211" s="253" t="s">
        <v>832</v>
      </c>
      <c r="F211" s="197" t="s">
        <v>833</v>
      </c>
      <c r="G211" s="295" t="s">
        <v>834</v>
      </c>
      <c r="H211" s="145"/>
      <c r="I211" s="98"/>
      <c r="J211" s="268"/>
      <c r="K211" s="100">
        <f>"https://www.incose.org/symp2019/contact/contacts-email"</f>
        <v>0</v>
      </c>
      <c r="L211" s="101">
        <f>"Call for Submissions:  https://www.incose.org/docs/default-source/events-documents/is2019/promotion/is2019-call-for-submissions.pdf?sfvrsn=c22095c6_6"</f>
        <v>0</v>
      </c>
      <c r="M211" s="102">
        <f>"https://easychair.org/account/signin.cgi?key=79911980.4v29MeitGTfrkKh9"</f>
        <v>0</v>
      </c>
      <c r="N211" s="274">
        <f>"Paper, Panel, and Tutorial:  2018/11/16"</f>
        <v>0</v>
      </c>
      <c r="O211" s="265" t="s">
        <v>835</v>
      </c>
      <c r="P211" s="197">
        <f>"https://www.incose.org/"</f>
        <v>0</v>
      </c>
      <c r="Q211" s="266" t="s">
        <v>72</v>
      </c>
      <c r="R211" s="267" t="s">
        <v>73</v>
      </c>
      <c r="S211" s="11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s="91" customFormat="1" ht="70.5" customHeight="1">
      <c r="A212" s="303"/>
      <c r="B212" s="93"/>
      <c r="C212" s="186"/>
      <c r="D212" s="197"/>
      <c r="E212" s="197"/>
      <c r="F212" s="197"/>
      <c r="G212" s="295"/>
      <c r="H212" s="145"/>
      <c r="I212" s="98"/>
      <c r="J212" s="268"/>
      <c r="K212" s="100"/>
      <c r="L212" s="101">
        <f>"Submission forrms and Templates:  https://www.incose.org/symp2019/contact/downloads"</f>
        <v>0</v>
      </c>
      <c r="M212" s="102" t="s">
        <v>836</v>
      </c>
      <c r="N212" s="274">
        <f>"Paperless Presentation abstracts due:  2019/02/15"</f>
        <v>0</v>
      </c>
      <c r="O212" s="265"/>
      <c r="P212" s="197"/>
      <c r="Q212" s="266"/>
      <c r="R212" s="267"/>
      <c r="S212" s="11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s="91" customFormat="1" ht="38.25" customHeight="1">
      <c r="A213" s="92" t="s">
        <v>837</v>
      </c>
      <c r="B213" s="93" t="s">
        <v>838</v>
      </c>
      <c r="C213" s="186">
        <f>"https://www.sae.org/attend/cyberauto"</f>
        <v>0</v>
      </c>
      <c r="D213" s="95" t="s">
        <v>839</v>
      </c>
      <c r="E213" s="109" t="s">
        <v>840</v>
      </c>
      <c r="F213" s="95" t="s">
        <v>841</v>
      </c>
      <c r="G213" s="96" t="s">
        <v>842</v>
      </c>
      <c r="H213" s="97"/>
      <c r="I213" s="98"/>
      <c r="J213" s="112"/>
      <c r="K213" s="100"/>
      <c r="L213" s="101">
        <f>"Who should attend?  https://www.sae.org/attend/cyberauto/attend"</f>
        <v>0</v>
      </c>
      <c r="M213" s="262">
        <f>"Apply: https://www.cyberautochallenge.us/moodle/login/index.php"</f>
        <v>0</v>
      </c>
      <c r="N213" s="274">
        <f>"2019/05/15 extended from 04/15 and 03/15"</f>
        <v>0</v>
      </c>
      <c r="O213" s="265" t="s">
        <v>53</v>
      </c>
      <c r="P213" s="95">
        <f>"https://www.sae.org/attend/"</f>
        <v>0</v>
      </c>
      <c r="Q213" s="266" t="s">
        <v>651</v>
      </c>
      <c r="R213" s="270" t="s">
        <v>55</v>
      </c>
      <c r="S213" s="11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s="91" customFormat="1" ht="52.5" customHeight="1">
      <c r="A214" s="92"/>
      <c r="B214" s="93"/>
      <c r="C214" s="186"/>
      <c r="D214" s="95"/>
      <c r="E214" s="95"/>
      <c r="F214" s="95"/>
      <c r="G214" s="96"/>
      <c r="H214" s="97"/>
      <c r="I214" s="98"/>
      <c r="J214" s="112"/>
      <c r="K214" s="100"/>
      <c r="L214" s="101">
        <f>"What is the CyberAuto Challenge?  https://www.sae.org/binaries/content/assets/cm/content/attend/2019/cyberauto/19_cyberauto_challenge.pdf"</f>
        <v>0</v>
      </c>
      <c r="M214" s="262"/>
      <c r="N214" s="274"/>
      <c r="O214" s="265"/>
      <c r="P214" s="95"/>
      <c r="Q214" s="266"/>
      <c r="R214" s="270"/>
      <c r="S214" s="11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s="91" customFormat="1" ht="56.25" customHeight="1">
      <c r="A215" s="92"/>
      <c r="B215" s="93"/>
      <c r="C215" s="186"/>
      <c r="D215" s="95"/>
      <c r="E215" s="95"/>
      <c r="F215" s="95"/>
      <c r="G215" s="96"/>
      <c r="H215" s="97"/>
      <c r="I215" s="98"/>
      <c r="J215" s="112"/>
      <c r="K215" s="100"/>
      <c r="L215" s="101">
        <f>"Terms of Participation:   https://www.sae.org/binaries/content/assets/cm/content/attend/2019/cyberauto/2019-sae-cyberauto-challenge-terms-of-participation.pdf"</f>
        <v>0</v>
      </c>
      <c r="M215" s="102"/>
      <c r="N215" s="103"/>
      <c r="O215" s="265"/>
      <c r="P215" s="95"/>
      <c r="Q215" s="266"/>
      <c r="R215" s="270"/>
      <c r="S215" s="11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s="91" customFormat="1" ht="45" customHeight="1">
      <c r="A216" s="92"/>
      <c r="B216" s="93"/>
      <c r="C216" s="186"/>
      <c r="D216" s="95"/>
      <c r="E216" s="95"/>
      <c r="F216" s="95"/>
      <c r="G216" s="96"/>
      <c r="H216" s="97"/>
      <c r="I216" s="98"/>
      <c r="J216" s="112"/>
      <c r="K216" s="100"/>
      <c r="L216" s="101">
        <f>"Sponsor:  https://www.sae.org/attend/cyberauto/sponsor"</f>
        <v>0</v>
      </c>
      <c r="M216" s="102"/>
      <c r="N216" s="103"/>
      <c r="O216" s="265"/>
      <c r="P216" s="95"/>
      <c r="Q216" s="266"/>
      <c r="R216" s="270"/>
      <c r="S216" s="11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64" s="91" customFormat="1" ht="45" customHeight="1">
      <c r="A217" s="303" t="s">
        <v>843</v>
      </c>
      <c r="B217" s="93" t="s">
        <v>844</v>
      </c>
      <c r="C217" s="186">
        <f>"https://www.volpe.dot.gov/event/jscott-drennan-new-mobility"</f>
        <v>0</v>
      </c>
      <c r="D217" s="95" t="s">
        <v>598</v>
      </c>
      <c r="E217" s="109" t="s">
        <v>845</v>
      </c>
      <c r="F217" s="95" t="s">
        <v>846</v>
      </c>
      <c r="G217" s="276"/>
      <c r="H217" s="277" t="s">
        <v>847</v>
      </c>
      <c r="I217" s="98" t="s">
        <v>602</v>
      </c>
      <c r="J217" s="268" t="s">
        <v>603</v>
      </c>
      <c r="K217" s="100" t="s">
        <v>604</v>
      </c>
      <c r="L217" s="113">
        <f>"You must register -- Registration Information:  https://www.volpe.dot.gov/events/how-to-attend"</f>
        <v>0</v>
      </c>
      <c r="M217" s="262">
        <f>"Series:  &amp;ldqo;Our New Mobility Future&amp;rdqo; Thought Leadership Series:  https://www.volpe.dot.gov/events/our-new-mobility-future"</f>
        <v>0</v>
      </c>
      <c r="N217" s="278"/>
      <c r="O217" s="104" t="s">
        <v>605</v>
      </c>
      <c r="P217" s="95" t="s">
        <v>606</v>
      </c>
      <c r="Q217" s="297" t="s">
        <v>607</v>
      </c>
      <c r="R217" s="106" t="s">
        <v>55</v>
      </c>
      <c r="S217" s="11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64" s="91" customFormat="1" ht="45" customHeight="1">
      <c r="A218" s="303"/>
      <c r="B218" s="93"/>
      <c r="C218" s="186"/>
      <c r="D218" s="95"/>
      <c r="E218" s="109"/>
      <c r="F218" s="95"/>
      <c r="G218" s="276"/>
      <c r="H218" s="277"/>
      <c r="I218" s="98"/>
      <c r="J218" s="268"/>
      <c r="K218" s="100"/>
      <c r="L218" s="113">
        <f>"Free reservation page: https://volpe-events.webex.com/mw3300/mywebex/default.do?siteurl=volpe-events"</f>
        <v>0</v>
      </c>
      <c r="M218" s="262"/>
      <c r="N218" s="278"/>
      <c r="O218" s="183" t="s">
        <v>608</v>
      </c>
      <c r="P218" s="279">
        <f>"https://www.volpe.dot.gov/upcoming-events"</f>
        <v>0</v>
      </c>
      <c r="Q218" s="297"/>
      <c r="R218" s="106"/>
      <c r="S218" s="11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18" ht="54" customHeight="1">
      <c r="A219" s="175" t="s">
        <v>848</v>
      </c>
      <c r="B219" s="184" t="s">
        <v>849</v>
      </c>
      <c r="C219" s="177">
        <f>"https://isttt23.sciencesconf.org/"</f>
        <v>0</v>
      </c>
      <c r="D219" s="95" t="s">
        <v>850</v>
      </c>
      <c r="E219" s="109" t="s">
        <v>851</v>
      </c>
      <c r="F219" s="95" t="s">
        <v>852</v>
      </c>
      <c r="G219" s="178" t="s">
        <v>853</v>
      </c>
      <c r="H219" s="179"/>
      <c r="I219" s="312"/>
      <c r="J219" s="313"/>
      <c r="K219" s="314">
        <f>"mailto:"</f>
        <v>0</v>
      </c>
      <c r="L219" s="201"/>
      <c r="M219" s="315"/>
      <c r="N219" s="316" t="s">
        <v>854</v>
      </c>
      <c r="O219" s="183" t="s">
        <v>71</v>
      </c>
      <c r="P219" s="184" t="s">
        <v>267</v>
      </c>
      <c r="Q219" s="185" t="s">
        <v>72</v>
      </c>
      <c r="R219" s="115" t="s">
        <v>73</v>
      </c>
    </row>
    <row r="220" spans="1:20" s="91" customFormat="1" ht="54" customHeight="1">
      <c r="A220" s="303" t="s">
        <v>855</v>
      </c>
      <c r="B220" s="93" t="s">
        <v>856</v>
      </c>
      <c r="C220" s="186">
        <f>"https://www.volpe.dot.gov/event/regina-clewlow-new-mobility"</f>
        <v>0</v>
      </c>
      <c r="D220" s="95" t="s">
        <v>598</v>
      </c>
      <c r="E220" s="109" t="s">
        <v>857</v>
      </c>
      <c r="F220" s="95" t="s">
        <v>858</v>
      </c>
      <c r="G220" s="276"/>
      <c r="H220" s="277" t="s">
        <v>859</v>
      </c>
      <c r="I220" s="98" t="s">
        <v>602</v>
      </c>
      <c r="J220" s="268" t="s">
        <v>603</v>
      </c>
      <c r="K220" s="100" t="s">
        <v>604</v>
      </c>
      <c r="L220" s="113">
        <f>"You must register -- Registration Information:  https://www.volpe.dot.gov/events/how-to-attend"</f>
        <v>0</v>
      </c>
      <c r="M220" s="262">
        <f>"Series:  &amp;ldqo;Our New Mobility Future&amp;rdqo; Thought Leadership Series:  https://www.volpe.dot.gov/events/our-new-mobility-future"</f>
        <v>0</v>
      </c>
      <c r="N220" s="278"/>
      <c r="O220" s="104" t="s">
        <v>605</v>
      </c>
      <c r="P220" s="95" t="s">
        <v>606</v>
      </c>
      <c r="Q220" s="297" t="s">
        <v>607</v>
      </c>
      <c r="R220" s="106" t="s">
        <v>55</v>
      </c>
      <c r="S220" s="117"/>
      <c r="T220" s="27"/>
    </row>
    <row r="221" spans="1:20" s="91" customFormat="1" ht="54" customHeight="1">
      <c r="A221" s="303"/>
      <c r="B221" s="93"/>
      <c r="C221" s="186"/>
      <c r="D221" s="95"/>
      <c r="E221" s="109"/>
      <c r="F221" s="95"/>
      <c r="G221" s="276"/>
      <c r="H221" s="277"/>
      <c r="I221" s="98"/>
      <c r="J221" s="268"/>
      <c r="K221" s="100"/>
      <c r="L221" s="113">
        <f>"Free reservation page: https://volpe-events.webex.com/mw3300/mywebex/default.do?siteurl=volpe-events"</f>
        <v>0</v>
      </c>
      <c r="M221" s="262"/>
      <c r="N221" s="278"/>
      <c r="O221" s="183" t="s">
        <v>608</v>
      </c>
      <c r="P221" s="279">
        <f>"https://www.volpe.dot.gov/upcoming-events"</f>
        <v>0</v>
      </c>
      <c r="Q221" s="297"/>
      <c r="R221" s="106"/>
      <c r="S221" s="117"/>
      <c r="T221" s="27"/>
    </row>
    <row r="222" spans="1:64" s="91" customFormat="1" ht="63.75" customHeight="1">
      <c r="A222" s="92" t="s">
        <v>232</v>
      </c>
      <c r="B222" s="93" t="s">
        <v>860</v>
      </c>
      <c r="C222" s="94">
        <f>"https://www.sae.org/learn/content/c1896/"</f>
        <v>0</v>
      </c>
      <c r="D222" s="95" t="s">
        <v>76</v>
      </c>
      <c r="E222" s="109" t="s">
        <v>861</v>
      </c>
      <c r="F222" s="95" t="s">
        <v>235</v>
      </c>
      <c r="G222" s="96" t="s">
        <v>236</v>
      </c>
      <c r="H222" s="97"/>
      <c r="I222" s="98"/>
      <c r="J222" s="99"/>
      <c r="K222" s="100"/>
      <c r="L222" s="101" t="s">
        <v>237</v>
      </c>
      <c r="M222" s="123" t="s">
        <v>238</v>
      </c>
      <c r="N222" s="116">
        <f>"Instructor: Rajeev Thakur"</f>
        <v>0</v>
      </c>
      <c r="O222" s="104" t="s">
        <v>83</v>
      </c>
      <c r="P222" s="95">
        <f>"https://www.sae.org/learn/professional-development"</f>
        <v>0</v>
      </c>
      <c r="Q222" s="105" t="s">
        <v>72</v>
      </c>
      <c r="R222" s="115" t="s">
        <v>73</v>
      </c>
      <c r="S222" s="11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s="91" customFormat="1" ht="74.25" customHeight="1">
      <c r="A223" s="216" t="s">
        <v>862</v>
      </c>
      <c r="B223" s="217" t="s">
        <v>863</v>
      </c>
      <c r="C223" s="218">
        <f>"http://www.icems2019.com/"</f>
        <v>0</v>
      </c>
      <c r="D223" s="155" t="s">
        <v>864</v>
      </c>
      <c r="E223" s="208" t="s">
        <v>865</v>
      </c>
      <c r="F223" s="155" t="s">
        <v>866</v>
      </c>
      <c r="G223" s="221" t="s">
        <v>867</v>
      </c>
      <c r="H223" s="220"/>
      <c r="I223" s="98"/>
      <c r="J223" s="268"/>
      <c r="K223" s="100">
        <f>"http://www.icems2019.com/Home/Menu/266"</f>
        <v>0</v>
      </c>
      <c r="L223" s="250">
        <f>"Call for Special Session Papers:  http://www.icems2019.com/Home/Detail/27"</f>
        <v>0</v>
      </c>
      <c r="M223" s="150">
        <f aca="true" t="shared" si="3" ref="M223:M224">"Detailed instructions:  http://icems2019.dodoevent.com/Home/Menu/272"</f>
        <v>0</v>
      </c>
      <c r="N223" s="155" t="s">
        <v>868</v>
      </c>
      <c r="O223" s="104" t="s">
        <v>869</v>
      </c>
      <c r="P223" s="197">
        <f>"https://ias.ieee.org/"</f>
        <v>0</v>
      </c>
      <c r="Q223" s="297" t="s">
        <v>72</v>
      </c>
      <c r="R223" s="115" t="s">
        <v>73</v>
      </c>
      <c r="S223" s="232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3"/>
      <c r="BB223" s="233"/>
      <c r="BC223" s="233"/>
      <c r="BD223" s="233"/>
      <c r="BE223" s="233"/>
      <c r="BF223" s="233"/>
      <c r="BG223" s="233"/>
      <c r="BH223" s="233"/>
      <c r="BI223" s="233"/>
      <c r="BJ223" s="233"/>
      <c r="BK223" s="233"/>
      <c r="BL223" s="233"/>
    </row>
    <row r="224" spans="1:64" s="91" customFormat="1" ht="81" customHeight="1">
      <c r="A224" s="216"/>
      <c r="B224" s="217"/>
      <c r="C224" s="218"/>
      <c r="D224" s="155"/>
      <c r="E224" s="155"/>
      <c r="F224" s="155"/>
      <c r="G224" s="221">
        <f>"Special Session on  Direct Drive and Magnetic Levitation Technologies:  http://icems2019admin.dodoevent.com/ckfinder/userfiles/files/Direct%20Drive%20and%20Magnetic%20Levitation%20Technologies.pdf"</f>
        <v>0</v>
      </c>
      <c r="H224" s="220"/>
      <c r="I224" s="98"/>
      <c r="J224" s="268"/>
      <c r="K224" s="100"/>
      <c r="L224" s="250">
        <f>"Call for Special Session Papers:  http://www.icems2019.com/Home/Detail/30"</f>
        <v>0</v>
      </c>
      <c r="M224" s="150">
        <f t="shared" si="3"/>
        <v>0</v>
      </c>
      <c r="N224" s="150" t="s">
        <v>870</v>
      </c>
      <c r="O224" s="104"/>
      <c r="P224" s="197"/>
      <c r="Q224" s="297"/>
      <c r="R224" s="115"/>
      <c r="S224" s="232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3"/>
      <c r="BB224" s="233"/>
      <c r="BC224" s="233"/>
      <c r="BD224" s="233"/>
      <c r="BE224" s="233"/>
      <c r="BF224" s="233"/>
      <c r="BG224" s="233"/>
      <c r="BH224" s="233"/>
      <c r="BI224" s="233"/>
      <c r="BJ224" s="233"/>
      <c r="BK224" s="233"/>
      <c r="BL224" s="233"/>
    </row>
    <row r="225" spans="1:64" s="91" customFormat="1" ht="26.25" customHeight="1">
      <c r="A225" s="92" t="s">
        <v>871</v>
      </c>
      <c r="B225" s="93" t="s">
        <v>872</v>
      </c>
      <c r="C225" s="186">
        <f>"Series page:  http://www.sbirroadtour.com/"</f>
        <v>0</v>
      </c>
      <c r="D225" s="95"/>
      <c r="E225" s="109" t="s">
        <v>873</v>
      </c>
      <c r="F225" s="95" t="s">
        <v>537</v>
      </c>
      <c r="G225" s="96" t="s">
        <v>538</v>
      </c>
      <c r="H225" s="97"/>
      <c r="I225" s="98"/>
      <c r="J225" s="268"/>
      <c r="K225" s="100"/>
      <c r="L225" s="271" t="s">
        <v>539</v>
      </c>
      <c r="M225" s="272" t="s">
        <v>540</v>
      </c>
      <c r="N225" s="273" t="s">
        <v>541</v>
      </c>
      <c r="O225" s="265" t="s">
        <v>542</v>
      </c>
      <c r="P225" s="95">
        <f>"https://www.sba.gov/"</f>
        <v>0</v>
      </c>
      <c r="Q225" s="266" t="s">
        <v>72</v>
      </c>
      <c r="R225" s="267" t="s">
        <v>73</v>
      </c>
      <c r="S225" s="11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64" s="91" customFormat="1" ht="37.5" customHeight="1">
      <c r="A226" s="92"/>
      <c r="B226" s="93"/>
      <c r="C226" s="186"/>
      <c r="D226" s="95" t="s">
        <v>874</v>
      </c>
      <c r="E226" s="109" t="s">
        <v>875</v>
      </c>
      <c r="F226" s="95"/>
      <c r="G226" s="96"/>
      <c r="H226" s="97"/>
      <c r="I226" s="98" t="s">
        <v>876</v>
      </c>
      <c r="J226" s="268" t="s">
        <v>877</v>
      </c>
      <c r="K226" s="256">
        <f>"mailto:anitab@uacenterforinnovation.org"</f>
        <v>0</v>
      </c>
      <c r="L226" s="261">
        <f>"University of Arizona Center for Innovation:  https://techparks.arizona.edu/UACenterForInnovation"</f>
        <v>0</v>
      </c>
      <c r="M226" s="262">
        <f>"https://www.eventbrite.com/e/sba-road-tour-southern-arizona-tickets-60493448533?aff=ebdssbdestsearch"</f>
        <v>0</v>
      </c>
      <c r="N226" s="103"/>
      <c r="O226" s="265"/>
      <c r="P226" s="95"/>
      <c r="Q226" s="266"/>
      <c r="R226" s="267"/>
      <c r="S226" s="11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s="91" customFormat="1" ht="37.5" customHeight="1">
      <c r="A227" s="92"/>
      <c r="B227" s="93"/>
      <c r="C227" s="186"/>
      <c r="D227" s="95"/>
      <c r="E227" s="109"/>
      <c r="F227" s="95"/>
      <c r="G227" s="96"/>
      <c r="H227" s="97"/>
      <c r="I227" s="98"/>
      <c r="J227" s="268"/>
      <c r="K227" s="256">
        <f>"http://www.uacenterforinnovation.com"</f>
        <v>0</v>
      </c>
      <c r="L227" s="261"/>
      <c r="M227" s="262"/>
      <c r="N227" s="103"/>
      <c r="O227" s="265"/>
      <c r="P227" s="95"/>
      <c r="Q227" s="266"/>
      <c r="R227" s="267"/>
      <c r="S227" s="11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s="91" customFormat="1" ht="52.5" customHeight="1">
      <c r="A228" s="92"/>
      <c r="B228" s="93"/>
      <c r="C228" s="186"/>
      <c r="D228" s="95" t="s">
        <v>878</v>
      </c>
      <c r="E228" s="109" t="s">
        <v>879</v>
      </c>
      <c r="F228" s="95"/>
      <c r="G228" s="96"/>
      <c r="H228" s="97"/>
      <c r="I228" s="98" t="s">
        <v>880</v>
      </c>
      <c r="J228" s="268" t="s">
        <v>881</v>
      </c>
      <c r="K228" s="100">
        <f>"mailto:bijo.mathew@utsa.edu"</f>
        <v>0</v>
      </c>
      <c r="L228" s="101">
        <f>"The University of Texas at San Antonio SBDC Technology Commercialization:  https://txsbdc.org/techcomm/"</f>
        <v>0</v>
      </c>
      <c r="M228" s="262">
        <f>"https://elpasosbdc.net/news-posts/sbir-road-tour/"</f>
        <v>0</v>
      </c>
      <c r="N228" s="103"/>
      <c r="O228" s="265"/>
      <c r="P228" s="95"/>
      <c r="Q228" s="266"/>
      <c r="R228" s="267"/>
      <c r="S228" s="11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s="91" customFormat="1" ht="83.25" customHeight="1">
      <c r="A229" s="92"/>
      <c r="B229" s="93"/>
      <c r="C229" s="186"/>
      <c r="D229" s="95"/>
      <c r="E229" s="109"/>
      <c r="F229" s="95"/>
      <c r="G229" s="96"/>
      <c r="H229" s="97"/>
      <c r="I229" s="98"/>
      <c r="J229" s="268" t="s">
        <v>882</v>
      </c>
      <c r="K229" s="100">
        <f>"https://sbdctexas.org/"</f>
        <v>0</v>
      </c>
      <c r="L229" s="101">
        <f>"El Paso Community College SBDC:  https://elpasosbdc.net/"</f>
        <v>0</v>
      </c>
      <c r="M229" s="262"/>
      <c r="N229" s="103"/>
      <c r="O229" s="265"/>
      <c r="P229" s="95"/>
      <c r="Q229" s="266"/>
      <c r="R229" s="267"/>
      <c r="S229" s="11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s="91" customFormat="1" ht="33" customHeight="1">
      <c r="A230" s="92"/>
      <c r="B230" s="93"/>
      <c r="C230" s="186"/>
      <c r="D230" s="95" t="s">
        <v>883</v>
      </c>
      <c r="E230" s="109" t="s">
        <v>884</v>
      </c>
      <c r="F230" s="95"/>
      <c r="G230" s="96"/>
      <c r="H230" s="97"/>
      <c r="I230" s="98" t="s">
        <v>885</v>
      </c>
      <c r="J230" s="268" t="s">
        <v>886</v>
      </c>
      <c r="K230" s="100">
        <f>"mailto:dderego@ad.nmsu.edu"</f>
        <v>0</v>
      </c>
      <c r="L230" s="261">
        <f>"Arrowhead Center, NM FAST:  https://arrowheadcenter.nmsu.edu/program/nm-fast/"</f>
        <v>0</v>
      </c>
      <c r="M230" s="262">
        <f>"https://www.eventbrite.com/e/sbir-road-tour-southwest-albuquerque-tickets-60543920496"</f>
        <v>0</v>
      </c>
      <c r="N230" s="148"/>
      <c r="O230" s="265"/>
      <c r="P230" s="95"/>
      <c r="Q230" s="266"/>
      <c r="R230" s="267"/>
      <c r="S230" s="11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s="91" customFormat="1" ht="33" customHeight="1">
      <c r="A231" s="92"/>
      <c r="B231" s="93"/>
      <c r="C231" s="186">
        <f>"Schedule page:  http://www.sbirroadtour.com/dates.php"</f>
        <v>0</v>
      </c>
      <c r="D231" s="95"/>
      <c r="E231" s="109"/>
      <c r="F231" s="95"/>
      <c r="G231" s="96"/>
      <c r="H231" s="97"/>
      <c r="I231" s="98"/>
      <c r="J231" s="268"/>
      <c r="K231" s="100">
        <f>"https://arrowheadcenter.nmsu.edu/"</f>
        <v>0</v>
      </c>
      <c r="L231" s="261"/>
      <c r="M231" s="262"/>
      <c r="N231" s="148"/>
      <c r="O231" s="265"/>
      <c r="P231" s="95"/>
      <c r="Q231" s="266"/>
      <c r="R231" s="267"/>
      <c r="S231" s="11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s="91" customFormat="1" ht="29.25" customHeight="1">
      <c r="A232" s="92"/>
      <c r="B232" s="93"/>
      <c r="C232" s="186"/>
      <c r="D232" s="95" t="s">
        <v>887</v>
      </c>
      <c r="E232" s="109" t="s">
        <v>888</v>
      </c>
      <c r="F232" s="95"/>
      <c r="G232" s="96"/>
      <c r="H232" s="97"/>
      <c r="I232" s="98" t="s">
        <v>889</v>
      </c>
      <c r="J232" s="112" t="s">
        <v>890</v>
      </c>
      <c r="K232" s="100">
        <f>"mailto:sharon.king@bouldersbdc.com"</f>
        <v>0</v>
      </c>
      <c r="L232" s="101">
        <f>"The Boulder Small Business Development Center:  https://bouldersbdc.com/"</f>
        <v>0</v>
      </c>
      <c r="M232" s="102">
        <f>"https://clients.coloradosbdc.org/workshop.aspx?ekey=50390068"</f>
        <v>0</v>
      </c>
      <c r="N232" s="274"/>
      <c r="O232" s="265"/>
      <c r="P232" s="95"/>
      <c r="Q232" s="266"/>
      <c r="R232" s="267"/>
      <c r="S232" s="11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64" s="91" customFormat="1" ht="54.75" customHeight="1">
      <c r="A233" s="92"/>
      <c r="B233" s="93"/>
      <c r="C233" s="186"/>
      <c r="D233" s="95"/>
      <c r="E233" s="109"/>
      <c r="F233" s="95"/>
      <c r="G233" s="96"/>
      <c r="H233" s="97"/>
      <c r="I233" s="98"/>
      <c r="J233" s="112"/>
      <c r="K233" s="100"/>
      <c r="L233" s="101">
        <f>"Colorado SBDC Network &amp;ndash; State of CO Office of Economic Development &amp; International Trade:  https://www.coloradosbdc.org/"</f>
        <v>0</v>
      </c>
      <c r="M233" s="102"/>
      <c r="N233" s="274"/>
      <c r="O233" s="265"/>
      <c r="P233" s="95"/>
      <c r="Q233" s="266"/>
      <c r="R233" s="267"/>
      <c r="S233" s="11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64" s="91" customFormat="1" ht="56.25" customHeight="1">
      <c r="A234" s="92"/>
      <c r="B234" s="93"/>
      <c r="C234" s="186"/>
      <c r="D234" s="95"/>
      <c r="E234" s="109"/>
      <c r="F234" s="95"/>
      <c r="G234" s="96"/>
      <c r="H234" s="97"/>
      <c r="I234" s="98"/>
      <c r="J234" s="112"/>
      <c r="K234" s="100"/>
      <c r="L234" s="101">
        <f>"State of CO Office of Economic Development &amp; International Trade:  https://choosecolorado.com/"</f>
        <v>0</v>
      </c>
      <c r="M234" s="102"/>
      <c r="N234" s="274"/>
      <c r="O234" s="265"/>
      <c r="P234" s="95"/>
      <c r="Q234" s="266"/>
      <c r="R234" s="267"/>
      <c r="S234" s="11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64" ht="56.25" customHeight="1">
      <c r="A235" s="317" t="s">
        <v>891</v>
      </c>
      <c r="B235" s="318" t="s">
        <v>892</v>
      </c>
      <c r="C235" s="319">
        <f>"Previous Webinar:  https://events.vtools.ieee.org/m/199616"</f>
        <v>0</v>
      </c>
      <c r="D235" s="157"/>
      <c r="E235" s="162" t="s">
        <v>893</v>
      </c>
      <c r="F235" s="157" t="s">
        <v>894</v>
      </c>
      <c r="G235" s="320" t="s">
        <v>895</v>
      </c>
      <c r="H235" s="321" t="s">
        <v>143</v>
      </c>
      <c r="I235" s="292"/>
      <c r="J235" s="322"/>
      <c r="K235" s="204"/>
      <c r="L235" s="323">
        <f>"Registration and Webinar Details:  https://register.gotowebinar.com/register/7409339879125387778"</f>
        <v>0</v>
      </c>
      <c r="M235" s="324">
        <f>"Related video:  https://www.youtube.com/watch?v=j1g0NwhO4Fg"</f>
        <v>0</v>
      </c>
      <c r="N235" s="324"/>
      <c r="O235" s="325" t="s">
        <v>753</v>
      </c>
      <c r="P235" s="291">
        <f>"http://tec.ieee.org/conferences-workshops"</f>
        <v>0</v>
      </c>
      <c r="Q235" s="326" t="s">
        <v>72</v>
      </c>
      <c r="R235" s="327" t="s">
        <v>73</v>
      </c>
      <c r="S235" s="11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64" s="91" customFormat="1" ht="75.75" customHeight="1">
      <c r="A236" s="92" t="s">
        <v>896</v>
      </c>
      <c r="B236" s="93" t="s">
        <v>897</v>
      </c>
      <c r="C236" s="94">
        <f>"https://www.act-news.com/webinar/why-hydrogen-and-fuel-cells-make-sense-for-commercial-transportation/"</f>
        <v>0</v>
      </c>
      <c r="D236" s="95"/>
      <c r="E236" s="109" t="s">
        <v>898</v>
      </c>
      <c r="F236" s="95" t="s">
        <v>387</v>
      </c>
      <c r="G236" s="96">
        <f>"The move towards zero emission freight can be felt across all sectors of medium- and heavy-duty vehicles &amp;hellip;"</f>
        <v>0</v>
      </c>
      <c r="H236" s="97"/>
      <c r="I236" s="98"/>
      <c r="J236" s="112"/>
      <c r="K236" s="100"/>
      <c r="L236" s="101">
        <f>"Mandatory Free Registration:  http://subscribe.act-news.com/chbcwebinarregistration"</f>
        <v>0</v>
      </c>
      <c r="M236" s="102"/>
      <c r="N236" s="102"/>
      <c r="O236" s="265"/>
      <c r="P236" s="197"/>
      <c r="Q236" s="266" t="s">
        <v>72</v>
      </c>
      <c r="R236" s="267" t="s">
        <v>73</v>
      </c>
      <c r="S236" s="11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64" ht="42" customHeight="1">
      <c r="A237" s="216" t="s">
        <v>899</v>
      </c>
      <c r="B237" s="217" t="s">
        <v>900</v>
      </c>
      <c r="C237" s="218">
        <f>"https://teslasciencecenter.org/events/tesla-tech-art-camp/"</f>
        <v>0</v>
      </c>
      <c r="D237" s="155" t="s">
        <v>901</v>
      </c>
      <c r="E237" s="208" t="s">
        <v>902</v>
      </c>
      <c r="F237" s="328" t="s">
        <v>903</v>
      </c>
      <c r="G237" s="219" t="s">
        <v>904</v>
      </c>
      <c r="H237" s="220"/>
      <c r="I237" s="329">
        <f>"Flyer:  http://www.LeviCar.com/Grfx/TeslaTechArtCamp_2019.pdf"</f>
        <v>0</v>
      </c>
      <c r="J237" s="329"/>
      <c r="K237" s="189">
        <f>"Registration and information:  http://www.gallerynorth.org/childrens-programs/2018/3/29/art-ventures-earth-day-art-3ccjj-k4xnj-jdnw9-zj55x-f28z8-zfh7r-9nhkg-ynlly"</f>
        <v>0</v>
      </c>
      <c r="L237" s="121" t="s">
        <v>905</v>
      </c>
      <c r="M237" s="155" t="s">
        <v>906</v>
      </c>
      <c r="N237" s="155"/>
      <c r="O237" s="265" t="s">
        <v>209</v>
      </c>
      <c r="P237" s="197">
        <f>"https://teslasciencecenter.org/"</f>
        <v>0</v>
      </c>
      <c r="Q237" s="266" t="s">
        <v>108</v>
      </c>
      <c r="R237" s="270" t="s">
        <v>109</v>
      </c>
      <c r="S237" s="232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233"/>
      <c r="AO237" s="233"/>
      <c r="AP237" s="233"/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3"/>
      <c r="BB237" s="233"/>
      <c r="BC237" s="233"/>
      <c r="BD237" s="233"/>
      <c r="BE237" s="233"/>
      <c r="BF237" s="233"/>
      <c r="BG237" s="233"/>
      <c r="BH237" s="233"/>
      <c r="BI237" s="233"/>
      <c r="BJ237" s="233"/>
      <c r="BK237" s="233"/>
      <c r="BL237" s="233"/>
    </row>
    <row r="238" spans="1:64" s="91" customFormat="1" ht="50.25" customHeight="1">
      <c r="A238" s="216"/>
      <c r="B238" s="217"/>
      <c r="C238" s="218"/>
      <c r="D238" s="155"/>
      <c r="E238" s="155"/>
      <c r="F238" s="155" t="s">
        <v>907</v>
      </c>
      <c r="G238" s="219"/>
      <c r="H238" s="220"/>
      <c r="I238" s="329"/>
      <c r="J238" s="329"/>
      <c r="K238" s="189"/>
      <c r="L238" s="121"/>
      <c r="M238" s="155" t="s">
        <v>908</v>
      </c>
      <c r="N238" s="155"/>
      <c r="O238" s="265"/>
      <c r="P238" s="197"/>
      <c r="Q238" s="266"/>
      <c r="R238" s="270"/>
      <c r="S238" s="232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  <c r="AV238" s="233"/>
      <c r="AW238" s="233"/>
      <c r="AX238" s="233"/>
      <c r="AY238" s="233"/>
      <c r="AZ238" s="233"/>
      <c r="BA238" s="233"/>
      <c r="BB238" s="233"/>
      <c r="BC238" s="233"/>
      <c r="BD238" s="233"/>
      <c r="BE238" s="233"/>
      <c r="BF238" s="233"/>
      <c r="BG238" s="233"/>
      <c r="BH238" s="233"/>
      <c r="BI238" s="233"/>
      <c r="BJ238" s="233"/>
      <c r="BK238" s="233"/>
      <c r="BL238" s="233"/>
    </row>
    <row r="239" spans="1:64" s="91" customFormat="1" ht="36" customHeight="1">
      <c r="A239" s="92" t="s">
        <v>909</v>
      </c>
      <c r="B239" s="93" t="s">
        <v>910</v>
      </c>
      <c r="C239" s="94">
        <f>"https://propulsionenergy.aiaa.org/"</f>
        <v>0</v>
      </c>
      <c r="D239" s="197" t="s">
        <v>911</v>
      </c>
      <c r="E239" s="109" t="s">
        <v>912</v>
      </c>
      <c r="F239" s="197" t="s">
        <v>913</v>
      </c>
      <c r="G239" s="96" t="s">
        <v>914</v>
      </c>
      <c r="H239" s="97"/>
      <c r="I239" s="98" t="s">
        <v>915</v>
      </c>
      <c r="J239" s="112"/>
      <c r="K239" s="100">
        <f>"mailto:ansell1@illinois.edu"</f>
        <v>0</v>
      </c>
      <c r="L239" s="261">
        <f>"https://propulsionenergy.aiaa.org/CallForPapers/"</f>
        <v>0</v>
      </c>
      <c r="M239" s="262"/>
      <c r="N239" s="274">
        <f>"abstracts due:  2019/01/31 20:00"</f>
        <v>0</v>
      </c>
      <c r="O239" s="265" t="s">
        <v>753</v>
      </c>
      <c r="P239" s="197" t="s">
        <v>916</v>
      </c>
      <c r="Q239" s="266" t="s">
        <v>72</v>
      </c>
      <c r="R239" s="267" t="s">
        <v>73</v>
      </c>
      <c r="S239" s="11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4" s="91" customFormat="1" ht="38.25" customHeight="1">
      <c r="A240" s="92" t="s">
        <v>917</v>
      </c>
      <c r="B240" s="93"/>
      <c r="C240" s="94">
        <f>"https://propulsionenergy.aiaa.org/EATS/"</f>
        <v>0</v>
      </c>
      <c r="D240" s="197"/>
      <c r="E240" s="109" t="s">
        <v>918</v>
      </c>
      <c r="F240" s="197"/>
      <c r="G240" s="96" t="s">
        <v>919</v>
      </c>
      <c r="H240" s="97"/>
      <c r="I240" s="98" t="s">
        <v>920</v>
      </c>
      <c r="J240" s="112"/>
      <c r="K240" s="100">
        <f>"mailto:andrew.gibson@esaero.com"</f>
        <v>0</v>
      </c>
      <c r="L240" s="261"/>
      <c r="M240" s="262"/>
      <c r="N240" s="274"/>
      <c r="O240" s="265"/>
      <c r="P240" s="265"/>
      <c r="Q240" s="265"/>
      <c r="R240" s="267"/>
      <c r="S240" s="11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64" s="91" customFormat="1" ht="37.5" customHeight="1">
      <c r="A241" s="92" t="s">
        <v>921</v>
      </c>
      <c r="B241" s="93" t="s">
        <v>922</v>
      </c>
      <c r="C241" s="186">
        <f>"https://www.act-news.com/webinar/why-now-is-the-time-to-electrify-your-fleet-webinar-series/"</f>
        <v>0</v>
      </c>
      <c r="D241" s="330"/>
      <c r="E241" s="109" t="s">
        <v>923</v>
      </c>
      <c r="F241" s="330" t="s">
        <v>924</v>
      </c>
      <c r="G241" s="96" t="s">
        <v>925</v>
      </c>
      <c r="H241" s="152" t="s">
        <v>926</v>
      </c>
      <c r="I241" s="98"/>
      <c r="J241" s="112"/>
      <c r="K241" s="100"/>
      <c r="L241" s="101">
        <f>"Registration form:  http://subscribe.act-news.com/pge-webinars-registration"</f>
        <v>0</v>
      </c>
      <c r="M241" s="102"/>
      <c r="N241" s="274"/>
      <c r="O241" s="149"/>
      <c r="P241" s="155"/>
      <c r="Q241" s="309" t="s">
        <v>72</v>
      </c>
      <c r="R241" s="215" t="s">
        <v>73</v>
      </c>
      <c r="S241" s="11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64" s="91" customFormat="1" ht="33" customHeight="1">
      <c r="A242" s="92"/>
      <c r="B242" s="93"/>
      <c r="C242" s="186"/>
      <c r="D242" s="330"/>
      <c r="E242" s="109"/>
      <c r="F242" s="330"/>
      <c r="G242" s="96"/>
      <c r="H242" s="152" t="s">
        <v>927</v>
      </c>
      <c r="I242" s="98"/>
      <c r="J242" s="112"/>
      <c r="K242" s="100"/>
      <c r="L242" s="101"/>
      <c r="M242" s="102"/>
      <c r="N242" s="274"/>
      <c r="O242" s="149"/>
      <c r="P242" s="155"/>
      <c r="Q242" s="309"/>
      <c r="R242" s="215"/>
      <c r="S242" s="11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64" s="91" customFormat="1" ht="25.5" customHeight="1">
      <c r="A243" s="92"/>
      <c r="B243" s="93"/>
      <c r="C243" s="186"/>
      <c r="D243" s="330"/>
      <c r="E243" s="109"/>
      <c r="F243" s="330"/>
      <c r="G243" s="96"/>
      <c r="H243" s="152" t="s">
        <v>928</v>
      </c>
      <c r="I243" s="98"/>
      <c r="J243" s="112"/>
      <c r="K243" s="100"/>
      <c r="L243" s="101"/>
      <c r="M243" s="102"/>
      <c r="N243" s="274"/>
      <c r="O243" s="149"/>
      <c r="P243" s="155"/>
      <c r="Q243" s="309"/>
      <c r="R243" s="215"/>
      <c r="S243" s="11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64" s="91" customFormat="1" ht="30.75" customHeight="1">
      <c r="A244" s="92" t="s">
        <v>929</v>
      </c>
      <c r="B244" s="93" t="s">
        <v>930</v>
      </c>
      <c r="C244" s="186">
        <f>"https://www.mobilizesummit.com/"</f>
        <v>0</v>
      </c>
      <c r="D244" s="95" t="s">
        <v>931</v>
      </c>
      <c r="E244" s="109" t="s">
        <v>932</v>
      </c>
      <c r="F244" s="95" t="s">
        <v>933</v>
      </c>
      <c r="G244" s="96" t="s">
        <v>934</v>
      </c>
      <c r="H244" s="97"/>
      <c r="I244" s="98" t="s">
        <v>935</v>
      </c>
      <c r="J244" s="112">
        <f>"503-226-2377"</f>
        <v>0</v>
      </c>
      <c r="K244" s="100">
        <f>"mailto:audrey@mobilizesummit.com"</f>
        <v>0</v>
      </c>
      <c r="L244" s="101"/>
      <c r="M244" s="122"/>
      <c r="N244" s="122"/>
      <c r="O244" s="149"/>
      <c r="P244" s="155"/>
      <c r="Q244" s="309" t="s">
        <v>72</v>
      </c>
      <c r="R244" s="215" t="s">
        <v>73</v>
      </c>
      <c r="S244" s="11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64" s="91" customFormat="1" ht="30" customHeight="1">
      <c r="A245" s="92"/>
      <c r="B245" s="93"/>
      <c r="C245" s="186"/>
      <c r="D245" s="95"/>
      <c r="E245" s="95"/>
      <c r="F245" s="95"/>
      <c r="G245" s="96"/>
      <c r="H245" s="97"/>
      <c r="I245" s="98" t="s">
        <v>936</v>
      </c>
      <c r="J245" s="112"/>
      <c r="K245" s="100">
        <f>"mailto:sierra@mobilizesummit.com"</f>
        <v>0</v>
      </c>
      <c r="L245" s="101"/>
      <c r="M245" s="122"/>
      <c r="N245" s="122"/>
      <c r="O245" s="149"/>
      <c r="P245" s="155"/>
      <c r="Q245" s="309"/>
      <c r="R245" s="215"/>
      <c r="S245" s="11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64" s="91" customFormat="1" ht="26.25" customHeight="1">
      <c r="A246" s="92"/>
      <c r="B246" s="93"/>
      <c r="C246" s="186"/>
      <c r="D246" s="95"/>
      <c r="E246" s="95"/>
      <c r="F246" s="95"/>
      <c r="G246" s="96"/>
      <c r="H246" s="97"/>
      <c r="I246" s="98" t="s">
        <v>937</v>
      </c>
      <c r="J246" s="112"/>
      <c r="K246" s="100">
        <f>"mailto:noel@mobilizesummit.com"</f>
        <v>0</v>
      </c>
      <c r="L246" s="101"/>
      <c r="M246" s="122"/>
      <c r="N246" s="122"/>
      <c r="O246" s="149"/>
      <c r="P246" s="155"/>
      <c r="Q246" s="309"/>
      <c r="R246" s="215"/>
      <c r="S246" s="11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64" s="91" customFormat="1" ht="61.5" customHeight="1">
      <c r="A247" s="92" t="s">
        <v>702</v>
      </c>
      <c r="B247" s="93" t="s">
        <v>200</v>
      </c>
      <c r="C247" s="94">
        <f>"https://teslasciencecenter.org/events/tower-to-the-people-gallery-north/"</f>
        <v>0</v>
      </c>
      <c r="D247" s="95" t="s">
        <v>703</v>
      </c>
      <c r="E247" s="109" t="s">
        <v>938</v>
      </c>
      <c r="F247" s="95" t="s">
        <v>705</v>
      </c>
      <c r="G247" s="96" t="s">
        <v>706</v>
      </c>
      <c r="H247" s="97"/>
      <c r="I247" s="98"/>
      <c r="J247" s="112"/>
      <c r="K247" s="100"/>
      <c r="L247" s="113">
        <f>"Tickets:  https://teslasciencecenter.z2systems.com/np/clients/teslasciencecenter/eventRegistration.jsp?event=182&amp;"</f>
        <v>0</v>
      </c>
      <c r="M247" s="123" t="s">
        <v>707</v>
      </c>
      <c r="N247" s="123"/>
      <c r="O247" s="149" t="s">
        <v>209</v>
      </c>
      <c r="P247" s="155" t="s">
        <v>642</v>
      </c>
      <c r="Q247" s="189" t="s">
        <v>108</v>
      </c>
      <c r="R247" s="284" t="s">
        <v>109</v>
      </c>
      <c r="S247" s="11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64" s="91" customFormat="1" ht="50.25" customHeight="1">
      <c r="A248" s="303" t="s">
        <v>939</v>
      </c>
      <c r="B248" s="93" t="s">
        <v>940</v>
      </c>
      <c r="C248" s="186">
        <f>"https://www.pfl2019.jp/"</f>
        <v>0</v>
      </c>
      <c r="D248" s="197" t="s">
        <v>941</v>
      </c>
      <c r="E248" s="109" t="s">
        <v>942</v>
      </c>
      <c r="F248" s="197" t="s">
        <v>943</v>
      </c>
      <c r="G248" s="295" t="s">
        <v>944</v>
      </c>
      <c r="H248" s="145"/>
      <c r="I248" s="98"/>
      <c r="J248" s="268"/>
      <c r="K248" s="100">
        <f>"pfl2019@jtbcom.co.jp"</f>
        <v>0</v>
      </c>
      <c r="L248" s="113">
        <f>"https://www.pfl2019.jp/submission.html"</f>
        <v>0</v>
      </c>
      <c r="M248" s="122"/>
      <c r="N248" s="274">
        <f>"abstracts:  2018/10/31"</f>
        <v>0</v>
      </c>
      <c r="O248" s="104" t="s">
        <v>945</v>
      </c>
      <c r="P248" s="95">
        <f>"http://www.jsae.or.jp/en/"</f>
        <v>0</v>
      </c>
      <c r="Q248" s="105" t="s">
        <v>72</v>
      </c>
      <c r="R248" s="115" t="s">
        <v>73</v>
      </c>
      <c r="S248" s="11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19" s="91" customFormat="1" ht="50.25" customHeight="1">
      <c r="A249" s="303"/>
      <c r="B249" s="93"/>
      <c r="C249" s="186"/>
      <c r="D249" s="197"/>
      <c r="E249" s="109" t="s">
        <v>946</v>
      </c>
      <c r="F249" s="197"/>
      <c r="G249" s="295"/>
      <c r="H249" s="145"/>
      <c r="I249" s="98"/>
      <c r="J249" s="268"/>
      <c r="K249" s="100"/>
      <c r="L249" s="113">
        <f>"http://pfl2019.jp/files/PFL2019_cfp.pdf"</f>
        <v>0</v>
      </c>
      <c r="M249" s="122"/>
      <c r="N249" s="274"/>
      <c r="O249" s="104" t="s">
        <v>53</v>
      </c>
      <c r="P249" s="95" t="s">
        <v>91</v>
      </c>
      <c r="Q249" s="105" t="s">
        <v>72</v>
      </c>
      <c r="R249" s="115"/>
      <c r="S249" s="107"/>
    </row>
    <row r="250" spans="1:19" s="91" customFormat="1" ht="44.25" customHeight="1">
      <c r="A250" s="331" t="s">
        <v>947</v>
      </c>
      <c r="B250" s="93" t="s">
        <v>948</v>
      </c>
      <c r="C250" s="94">
        <f>"https://www.meetup.com/ntesla-38/events/260486347/"</f>
        <v>0</v>
      </c>
      <c r="D250" s="197" t="s">
        <v>949</v>
      </c>
      <c r="E250" s="109" t="s">
        <v>950</v>
      </c>
      <c r="F250" s="197" t="s">
        <v>951</v>
      </c>
      <c r="G250" s="304" t="s">
        <v>952</v>
      </c>
      <c r="H250" s="145"/>
      <c r="I250" s="98"/>
      <c r="J250" s="268"/>
      <c r="K250" s="100"/>
      <c r="L250" s="113"/>
      <c r="M250" s="122"/>
      <c r="N250" s="274"/>
      <c r="O250" s="104"/>
      <c r="P250" s="95"/>
      <c r="Q250" s="105" t="s">
        <v>108</v>
      </c>
      <c r="R250" s="106" t="s">
        <v>109</v>
      </c>
      <c r="S250" s="107"/>
    </row>
    <row r="251" spans="1:64" s="91" customFormat="1" ht="52.5" customHeight="1">
      <c r="A251" s="92" t="s">
        <v>953</v>
      </c>
      <c r="B251" s="93" t="s">
        <v>954</v>
      </c>
      <c r="C251" s="94">
        <f>"https://driveworldexpo.com/"</f>
        <v>0</v>
      </c>
      <c r="D251" s="197" t="s">
        <v>505</v>
      </c>
      <c r="E251" s="109" t="s">
        <v>955</v>
      </c>
      <c r="F251" s="197" t="s">
        <v>956</v>
      </c>
      <c r="G251" s="304" t="s">
        <v>957</v>
      </c>
      <c r="H251" s="145"/>
      <c r="I251" s="98"/>
      <c r="J251" s="268"/>
      <c r="K251" s="100">
        <f>"Brochure:  https://findmanufacturingbuyers.com/sites/default/files/Electronics_Events.pdf"</f>
        <v>0</v>
      </c>
      <c r="L251" s="113">
        <f>"Exhibitors&amp;rsquo; info  https://driveworldexpo.com/become-an-exhibitor"</f>
        <v>0</v>
      </c>
      <c r="M251" s="102">
        <f>"colocated with Embedded Systems Conference (ESC)"</f>
        <v>0</v>
      </c>
      <c r="N251" s="274"/>
      <c r="O251" s="104" t="s">
        <v>958</v>
      </c>
      <c r="P251" s="95">
        <f>"https://findmanufacturingbuyers.com/automotive"</f>
        <v>0</v>
      </c>
      <c r="Q251" s="105" t="s">
        <v>72</v>
      </c>
      <c r="R251" s="115" t="s">
        <v>73</v>
      </c>
      <c r="S251" s="11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64" s="91" customFormat="1" ht="67.5" customHeight="1">
      <c r="A252" s="331" t="s">
        <v>959</v>
      </c>
      <c r="B252" s="93" t="s">
        <v>960</v>
      </c>
      <c r="C252" s="94">
        <f>"http://plugvolt.com/webinars/"</f>
        <v>0</v>
      </c>
      <c r="D252" s="197"/>
      <c r="E252" s="109" t="s">
        <v>961</v>
      </c>
      <c r="F252" s="197" t="s">
        <v>962</v>
      </c>
      <c r="G252" s="96" t="s">
        <v>963</v>
      </c>
      <c r="H252" s="97" t="s">
        <v>964</v>
      </c>
      <c r="I252" s="98"/>
      <c r="J252" s="112"/>
      <c r="K252" s="100">
        <f>"Registration and Webinar Details:  https://attendee.gototraining.com/r/3017736504193624578"</f>
        <v>0</v>
      </c>
      <c r="L252" s="190"/>
      <c r="M252" s="102"/>
      <c r="N252" s="274"/>
      <c r="O252" s="149" t="s">
        <v>99</v>
      </c>
      <c r="P252" s="150">
        <f>"http://plugvolt.com/"</f>
        <v>0</v>
      </c>
      <c r="Q252" s="142" t="s">
        <v>72</v>
      </c>
      <c r="R252" s="332" t="s">
        <v>73</v>
      </c>
      <c r="S252" s="11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64" s="91" customFormat="1" ht="41.25" customHeight="1">
      <c r="A253" s="92" t="s">
        <v>965</v>
      </c>
      <c r="B253" s="93" t="s">
        <v>966</v>
      </c>
      <c r="C253" s="186">
        <f>"https://webinar.mytrb.org/Webinars/Details/1298"</f>
        <v>0</v>
      </c>
      <c r="D253" s="95" t="s">
        <v>66</v>
      </c>
      <c r="E253" s="109" t="s">
        <v>967</v>
      </c>
      <c r="F253" s="95" t="s">
        <v>968</v>
      </c>
      <c r="G253" s="191" t="s">
        <v>969</v>
      </c>
      <c r="H253" s="142" t="s">
        <v>970</v>
      </c>
      <c r="I253" s="98" t="s">
        <v>266</v>
      </c>
      <c r="J253" s="112"/>
      <c r="K253" s="100">
        <f>"mailto:RGillum@nas.edu"</f>
        <v>0</v>
      </c>
      <c r="L253" s="227">
        <f>"Mandatory Free Registration:  https://webinar.mytrb.org/Home/Login?WebinarID=1298  Login required"</f>
        <v>0</v>
      </c>
      <c r="M253" s="102">
        <f>"Last year's event:  http://www.trb.org/Calendar/Blurbs/177805.aspx"</f>
        <v>0</v>
      </c>
      <c r="N253" s="102"/>
      <c r="O253" s="104" t="s">
        <v>71</v>
      </c>
      <c r="P253" s="95">
        <f>"http://www.trb.org/Calendar/Calendar.aspx"</f>
        <v>0</v>
      </c>
      <c r="Q253" s="105" t="s">
        <v>54</v>
      </c>
      <c r="R253" s="106" t="s">
        <v>55</v>
      </c>
      <c r="S253" s="11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64" s="91" customFormat="1" ht="39.75" customHeight="1">
      <c r="A254" s="92"/>
      <c r="B254" s="93"/>
      <c r="C254" s="186"/>
      <c r="D254" s="95"/>
      <c r="E254" s="95"/>
      <c r="F254" s="95"/>
      <c r="G254" s="191"/>
      <c r="H254" s="142" t="s">
        <v>971</v>
      </c>
      <c r="I254" s="98"/>
      <c r="J254" s="112"/>
      <c r="K254" s="100"/>
      <c r="L254" s="333">
        <f>"Last year's Guide to RiP Database:  http://onlinepubs.trb.org/onlinepubs/webinars/180822.pdf"</f>
        <v>0</v>
      </c>
      <c r="M254" s="333"/>
      <c r="N254" s="333"/>
      <c r="O254" s="104"/>
      <c r="P254" s="95"/>
      <c r="Q254" s="105"/>
      <c r="R254" s="106"/>
      <c r="S254" s="11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64" ht="75.75" customHeight="1">
      <c r="A255" s="331" t="s">
        <v>972</v>
      </c>
      <c r="B255" s="93" t="s">
        <v>973</v>
      </c>
      <c r="C255" s="94">
        <f>"https://teslasciencecenter.org/events/an-electric-idea-nikola-teslas-new-york-laboratory/"</f>
        <v>0</v>
      </c>
      <c r="D255" s="197" t="s">
        <v>813</v>
      </c>
      <c r="E255" s="109" t="s">
        <v>974</v>
      </c>
      <c r="F255" s="197" t="s">
        <v>975</v>
      </c>
      <c r="G255" s="96" t="s">
        <v>976</v>
      </c>
      <c r="H255" s="152" t="s">
        <v>977</v>
      </c>
      <c r="I255" s="98"/>
      <c r="J255" s="293">
        <f>"(213) 473-0800"</f>
        <v>0</v>
      </c>
      <c r="K255" s="100"/>
      <c r="L255" s="190">
        <f>"Directions:  https://www.google.com/maps/place/Griffith+Observatory/@34.1184341,-118.3025822,17z/data=!3m1!4b1!4m5!3m4!1s0x80c2bf61e9d408cb:0x73ff07b1c2d6dadc!8m2!3d34.1184341!4d-118.3003935"</f>
        <v>0</v>
      </c>
      <c r="M255" s="102"/>
      <c r="N255" s="274"/>
      <c r="O255" s="149" t="s">
        <v>209</v>
      </c>
      <c r="P255" s="150" t="s">
        <v>642</v>
      </c>
      <c r="Q255" s="142" t="s">
        <v>108</v>
      </c>
      <c r="R255" s="334" t="s">
        <v>109</v>
      </c>
      <c r="S255" s="11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ht="30.75" customHeight="1">
      <c r="A256" s="335" t="s">
        <v>978</v>
      </c>
      <c r="B256" s="336" t="s">
        <v>979</v>
      </c>
      <c r="C256" s="337">
        <f>"https://www.eventbrite.com/e/25th-biennial-training-institute-held-at-asilomar-may-31-june-2-2019-tickets-58036764525"</f>
        <v>0</v>
      </c>
      <c r="D256" s="336" t="s">
        <v>980</v>
      </c>
      <c r="E256" s="338" t="s">
        <v>981</v>
      </c>
      <c r="F256" s="336" t="s">
        <v>982</v>
      </c>
      <c r="G256" s="287" t="s">
        <v>983</v>
      </c>
      <c r="H256" s="339"/>
      <c r="I256" s="340" t="s">
        <v>984</v>
      </c>
      <c r="J256" s="341">
        <f>"(530) 752-2039;  cell:  (916) 717-8614"</f>
        <v>0</v>
      </c>
      <c r="K256" s="310">
        <f>"mailto:skulieke@ucdavis.edu"</f>
        <v>0</v>
      </c>
      <c r="L256" s="311"/>
      <c r="M256" s="289"/>
      <c r="N256" s="289"/>
      <c r="O256" s="342" t="s">
        <v>71</v>
      </c>
      <c r="P256" s="336" t="s">
        <v>267</v>
      </c>
      <c r="Q256" s="343" t="s">
        <v>72</v>
      </c>
      <c r="R256" s="344" t="s">
        <v>73</v>
      </c>
      <c r="S256" s="11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64" ht="46.5" customHeight="1">
      <c r="A257" s="335"/>
      <c r="B257" s="336"/>
      <c r="C257" s="337"/>
      <c r="D257" s="336"/>
      <c r="E257" s="338"/>
      <c r="F257" s="336"/>
      <c r="G257" s="287"/>
      <c r="H257" s="339"/>
      <c r="I257" s="340"/>
      <c r="J257" s="341"/>
      <c r="K257" s="310">
        <f>"http://its.ucdavis.edu/about/staff/"</f>
        <v>0</v>
      </c>
      <c r="L257" s="311"/>
      <c r="M257" s="289"/>
      <c r="N257" s="289"/>
      <c r="O257" s="342"/>
      <c r="P257" s="336"/>
      <c r="Q257" s="343"/>
      <c r="R257" s="344"/>
      <c r="S257" s="11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64" s="91" customFormat="1" ht="49.5" customHeight="1">
      <c r="A258" s="92" t="s">
        <v>317</v>
      </c>
      <c r="B258" s="93" t="s">
        <v>985</v>
      </c>
      <c r="C258" s="94">
        <f>"https://www.sae.org/learn/content/c1602/"</f>
        <v>0</v>
      </c>
      <c r="D258" s="95" t="s">
        <v>76</v>
      </c>
      <c r="E258" s="109" t="s">
        <v>986</v>
      </c>
      <c r="F258" s="95" t="s">
        <v>320</v>
      </c>
      <c r="G258" s="96" t="s">
        <v>321</v>
      </c>
      <c r="H258" s="97"/>
      <c r="I258" s="98"/>
      <c r="J258" s="99"/>
      <c r="K258" s="100"/>
      <c r="L258" s="101" t="s">
        <v>322</v>
      </c>
      <c r="M258" s="123" t="s">
        <v>144</v>
      </c>
      <c r="N258" s="345">
        <f>"Instructor:  Eric Timmis"</f>
        <v>0</v>
      </c>
      <c r="O258" s="104" t="s">
        <v>83</v>
      </c>
      <c r="P258" s="95">
        <f>"https://www.sae.org/learn/professional-development"</f>
        <v>0</v>
      </c>
      <c r="Q258" s="105" t="s">
        <v>72</v>
      </c>
      <c r="R258" s="115" t="s">
        <v>73</v>
      </c>
      <c r="S258" s="11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64" s="91" customFormat="1" ht="39.75" customHeight="1">
      <c r="A259" s="303">
        <f>"How Two California Fleets Have Successfully Deployed EVs"</f>
        <v>0</v>
      </c>
      <c r="B259" s="93" t="s">
        <v>987</v>
      </c>
      <c r="C259" s="186">
        <f>"https://www.act-news.com/webinar/why-now-is-the-time-to-electrify-your-fleet-webinar-series/"</f>
        <v>0</v>
      </c>
      <c r="D259" s="95"/>
      <c r="E259" s="109" t="s">
        <v>988</v>
      </c>
      <c r="F259" s="95" t="s">
        <v>989</v>
      </c>
      <c r="G259" s="96" t="s">
        <v>990</v>
      </c>
      <c r="H259" s="152" t="s">
        <v>991</v>
      </c>
      <c r="I259" s="98"/>
      <c r="J259" s="99"/>
      <c r="K259" s="100"/>
      <c r="L259" s="101">
        <f>"Registration form:  http://subscribe.act-news.com/pge-webinars-registration"</f>
        <v>0</v>
      </c>
      <c r="M259" s="102"/>
      <c r="N259" s="274"/>
      <c r="O259" s="149"/>
      <c r="P259" s="155"/>
      <c r="Q259" s="309" t="s">
        <v>72</v>
      </c>
      <c r="R259" s="215" t="s">
        <v>73</v>
      </c>
      <c r="S259" s="11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</row>
    <row r="260" spans="1:64" s="91" customFormat="1" ht="42.75" customHeight="1">
      <c r="A260" s="303"/>
      <c r="B260" s="93"/>
      <c r="C260" s="186"/>
      <c r="D260" s="95"/>
      <c r="E260" s="95"/>
      <c r="F260" s="95"/>
      <c r="G260" s="96"/>
      <c r="H260" s="152" t="s">
        <v>992</v>
      </c>
      <c r="I260" s="98"/>
      <c r="J260" s="99"/>
      <c r="K260" s="100"/>
      <c r="L260" s="101"/>
      <c r="M260" s="102"/>
      <c r="N260" s="274"/>
      <c r="O260" s="149"/>
      <c r="P260" s="155"/>
      <c r="Q260" s="309"/>
      <c r="R260" s="215"/>
      <c r="S260" s="11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64" s="91" customFormat="1" ht="43.5" customHeight="1">
      <c r="A261" s="303"/>
      <c r="B261" s="93"/>
      <c r="C261" s="186"/>
      <c r="D261" s="95"/>
      <c r="E261" s="95"/>
      <c r="F261" s="95"/>
      <c r="G261" s="96"/>
      <c r="H261" s="152" t="s">
        <v>993</v>
      </c>
      <c r="I261" s="98"/>
      <c r="J261" s="99"/>
      <c r="K261" s="100"/>
      <c r="L261" s="101"/>
      <c r="M261" s="102"/>
      <c r="N261" s="274"/>
      <c r="O261" s="149"/>
      <c r="P261" s="155"/>
      <c r="Q261" s="309"/>
      <c r="R261" s="215"/>
      <c r="S261" s="11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</row>
    <row r="262" spans="1:64" s="91" customFormat="1" ht="61.5" customHeight="1">
      <c r="A262" s="92" t="s">
        <v>562</v>
      </c>
      <c r="B262" s="93" t="s">
        <v>994</v>
      </c>
      <c r="C262" s="94">
        <f>"https://www.sae.org/learn/content/c1527/"</f>
        <v>0</v>
      </c>
      <c r="D262" s="95" t="s">
        <v>564</v>
      </c>
      <c r="E262" s="109" t="s">
        <v>995</v>
      </c>
      <c r="F262" s="95" t="s">
        <v>566</v>
      </c>
      <c r="G262" s="96" t="s">
        <v>996</v>
      </c>
      <c r="H262" s="97"/>
      <c r="I262" s="98"/>
      <c r="J262" s="112"/>
      <c r="K262" s="100"/>
      <c r="L262" s="113" t="s">
        <v>997</v>
      </c>
      <c r="M262" s="123" t="s">
        <v>238</v>
      </c>
      <c r="N262" s="345" t="s">
        <v>569</v>
      </c>
      <c r="O262" s="104" t="s">
        <v>83</v>
      </c>
      <c r="P262" s="95">
        <f>"https://www.sae.org/learn/professional-development"</f>
        <v>0</v>
      </c>
      <c r="Q262" s="105" t="s">
        <v>72</v>
      </c>
      <c r="R262" s="115" t="s">
        <v>73</v>
      </c>
      <c r="S262" s="11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64" ht="38.25" customHeight="1">
      <c r="A263" s="92" t="s">
        <v>998</v>
      </c>
      <c r="B263" s="95" t="s">
        <v>999</v>
      </c>
      <c r="C263" s="94">
        <f>"http://www.icves2019.org/"</f>
        <v>0</v>
      </c>
      <c r="D263" s="95" t="s">
        <v>1000</v>
      </c>
      <c r="E263" s="109" t="s">
        <v>1001</v>
      </c>
      <c r="F263" s="279" t="s">
        <v>1002</v>
      </c>
      <c r="G263" s="96" t="s">
        <v>1003</v>
      </c>
      <c r="H263" s="97"/>
      <c r="I263" s="98"/>
      <c r="J263" s="268"/>
      <c r="K263" s="346">
        <f>"Contact form:  https://www.icves2019.org/contact.html"</f>
        <v>0</v>
      </c>
      <c r="L263" s="113"/>
      <c r="M263" s="102"/>
      <c r="N263" s="274"/>
      <c r="O263" s="104" t="s">
        <v>373</v>
      </c>
      <c r="P263" s="95">
        <f>"https://www.ieee-itss.org/"</f>
        <v>0</v>
      </c>
      <c r="Q263" s="105" t="s">
        <v>72</v>
      </c>
      <c r="R263" s="115" t="s">
        <v>73</v>
      </c>
      <c r="S263" s="11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</row>
    <row r="264" spans="1:64" s="91" customFormat="1" ht="27.75" customHeight="1">
      <c r="A264" s="92" t="s">
        <v>1004</v>
      </c>
      <c r="B264" s="95" t="s">
        <v>1005</v>
      </c>
      <c r="C264" s="186">
        <f>"https://www.act-news.com/webinar/why-now-is-the-time-to-electrify-your-fleet-webinar-series/"</f>
        <v>0</v>
      </c>
      <c r="D264" s="95"/>
      <c r="E264" s="109" t="s">
        <v>1006</v>
      </c>
      <c r="F264" s="330" t="s">
        <v>1007</v>
      </c>
      <c r="G264" s="96" t="s">
        <v>1008</v>
      </c>
      <c r="H264" s="152" t="s">
        <v>1009</v>
      </c>
      <c r="I264" s="98"/>
      <c r="J264" s="268"/>
      <c r="K264" s="100"/>
      <c r="L264" s="101">
        <f>"Registration form:  http://subscribe.act-news.com/pge-webinars-registration"</f>
        <v>0</v>
      </c>
      <c r="M264" s="262"/>
      <c r="N264" s="274"/>
      <c r="O264" s="149"/>
      <c r="P264" s="155"/>
      <c r="Q264" s="309" t="s">
        <v>72</v>
      </c>
      <c r="R264" s="215" t="s">
        <v>73</v>
      </c>
      <c r="S264" s="11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64" s="91" customFormat="1" ht="27.75" customHeight="1">
      <c r="A265" s="92"/>
      <c r="B265" s="95"/>
      <c r="C265" s="186"/>
      <c r="D265" s="95"/>
      <c r="E265" s="109"/>
      <c r="F265" s="330"/>
      <c r="G265" s="96"/>
      <c r="H265" s="152" t="s">
        <v>1010</v>
      </c>
      <c r="I265" s="98"/>
      <c r="J265" s="268"/>
      <c r="K265" s="100"/>
      <c r="L265" s="101"/>
      <c r="M265" s="262"/>
      <c r="N265" s="274"/>
      <c r="O265" s="149"/>
      <c r="P265" s="155"/>
      <c r="Q265" s="309"/>
      <c r="R265" s="215"/>
      <c r="S265" s="11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</row>
    <row r="266" spans="1:64" s="91" customFormat="1" ht="36.75" customHeight="1">
      <c r="A266" s="92"/>
      <c r="B266" s="95"/>
      <c r="C266" s="186"/>
      <c r="D266" s="95"/>
      <c r="E266" s="109"/>
      <c r="F266" s="330"/>
      <c r="G266" s="96"/>
      <c r="H266" s="152" t="s">
        <v>1011</v>
      </c>
      <c r="I266" s="98"/>
      <c r="J266" s="268"/>
      <c r="K266" s="100"/>
      <c r="L266" s="101"/>
      <c r="M266" s="262"/>
      <c r="N266" s="274"/>
      <c r="O266" s="149"/>
      <c r="P266" s="155"/>
      <c r="Q266" s="309"/>
      <c r="R266" s="215"/>
      <c r="S266" s="11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</row>
    <row r="267" spans="1:64" s="91" customFormat="1" ht="36.75" customHeight="1">
      <c r="A267" s="92"/>
      <c r="B267" s="95"/>
      <c r="C267" s="186"/>
      <c r="D267" s="95"/>
      <c r="E267" s="109"/>
      <c r="F267" s="330"/>
      <c r="G267" s="96"/>
      <c r="H267" s="152" t="s">
        <v>1012</v>
      </c>
      <c r="I267" s="98"/>
      <c r="J267" s="268"/>
      <c r="K267" s="100"/>
      <c r="L267" s="101"/>
      <c r="M267" s="262"/>
      <c r="N267" s="274"/>
      <c r="O267" s="149"/>
      <c r="P267" s="155"/>
      <c r="Q267" s="309"/>
      <c r="R267" s="215"/>
      <c r="S267" s="11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</row>
    <row r="268" spans="1:64" s="91" customFormat="1" ht="43.5" customHeight="1">
      <c r="A268" s="92" t="s">
        <v>1013</v>
      </c>
      <c r="B268" s="95" t="s">
        <v>1014</v>
      </c>
      <c r="C268" s="94">
        <f>"http://www.evtechexpo.com/"</f>
        <v>0</v>
      </c>
      <c r="D268" s="95" t="s">
        <v>671</v>
      </c>
      <c r="E268" s="109" t="s">
        <v>1015</v>
      </c>
      <c r="F268" s="95" t="s">
        <v>460</v>
      </c>
      <c r="G268" s="96" t="s">
        <v>1016</v>
      </c>
      <c r="H268" s="97"/>
      <c r="I268" s="98"/>
      <c r="J268" s="112"/>
      <c r="K268" s="100">
        <f>"https://evtechexpo.com/contact-hybrid"</f>
        <v>0</v>
      </c>
      <c r="L268" s="113">
        <f>"Registration:  https://battery.im.informa.com/2019/registrations/EVTechExpo"</f>
        <v>0</v>
      </c>
      <c r="M268" s="123">
        <f>"Exhibitors&amp;rsquo; info:  https://evtechexpo.com/why-exhibit-hybrid"</f>
        <v>0</v>
      </c>
      <c r="N268" s="103" t="s">
        <v>1017</v>
      </c>
      <c r="O268" s="104"/>
      <c r="P268" s="95"/>
      <c r="Q268" s="105" t="s">
        <v>54</v>
      </c>
      <c r="R268" s="106" t="s">
        <v>1018</v>
      </c>
      <c r="S268" s="11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64" s="91" customFormat="1" ht="52.5" customHeight="1">
      <c r="A269" s="175" t="s">
        <v>1019</v>
      </c>
      <c r="B269" s="176" t="s">
        <v>1020</v>
      </c>
      <c r="C269" s="177">
        <f>"https://thebatteryshow.com/"</f>
        <v>0</v>
      </c>
      <c r="D269" s="95" t="s">
        <v>671</v>
      </c>
      <c r="E269" s="109" t="s">
        <v>1015</v>
      </c>
      <c r="F269" s="95" t="s">
        <v>1021</v>
      </c>
      <c r="G269" s="347">
        <f>"Cutting-Edge Technologies.&amp;nbsp; In-Depth Industry Education."</f>
        <v>0</v>
      </c>
      <c r="H269" s="348"/>
      <c r="I269" s="180"/>
      <c r="J269" s="181"/>
      <c r="K269" s="256">
        <f>"https://thebatteryshow.com/contact-battery"</f>
        <v>0</v>
      </c>
      <c r="L269" s="113">
        <f>"Registration:  https://battery.im.informa.com/2019/registrations/BatteryShow"</f>
        <v>0</v>
      </c>
      <c r="M269" s="102">
        <f>"Exhibitors&amp;rsquo; info:  https://thebatteryshow.com/why-exhibit-battery"</f>
        <v>0</v>
      </c>
      <c r="N269" s="349" t="s">
        <v>1022</v>
      </c>
      <c r="O269" s="183"/>
      <c r="P269" s="279"/>
      <c r="Q269" s="350" t="s">
        <v>54</v>
      </c>
      <c r="R269" s="106" t="s">
        <v>1023</v>
      </c>
      <c r="S269" s="11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64" s="91" customFormat="1" ht="80.25" customHeight="1">
      <c r="A270" s="175" t="s">
        <v>1024</v>
      </c>
      <c r="B270" s="176" t="s">
        <v>1025</v>
      </c>
      <c r="C270" s="177">
        <f>"http://www.ncmbc.us/wp-content/uploads/Army-STTR-19C-Pre-BAA-BULLETIN-7-Special-Topics-OPSEC-Approved-1-August-2019.pdf"</f>
        <v>0</v>
      </c>
      <c r="D270" s="95" t="s">
        <v>1026</v>
      </c>
      <c r="E270" s="109" t="s">
        <v>1027</v>
      </c>
      <c r="F270" s="95" t="s">
        <v>1028</v>
      </c>
      <c r="G270" s="347" t="s">
        <v>1029</v>
      </c>
      <c r="H270" s="348"/>
      <c r="I270" s="180"/>
      <c r="J270" s="181"/>
      <c r="K270" s="256">
        <f>"Registration:  usarmy.rtp.ccdc-arl.mbx.sttr-pmo@mail.mil"</f>
        <v>0</v>
      </c>
      <c r="L270" s="113"/>
      <c r="M270" s="102"/>
      <c r="N270" s="349"/>
      <c r="O270" s="183"/>
      <c r="P270" s="279"/>
      <c r="Q270" s="350" t="s">
        <v>72</v>
      </c>
      <c r="R270" s="115" t="s">
        <v>73</v>
      </c>
      <c r="S270" s="11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64" s="91" customFormat="1" ht="69.75" customHeight="1">
      <c r="A271" s="175" t="s">
        <v>1030</v>
      </c>
      <c r="B271" s="176" t="s">
        <v>1031</v>
      </c>
      <c r="C271" s="177">
        <f>"https://erticonetwork.com/erticos-2019-is-all-about-urban-mobility/"</f>
        <v>0</v>
      </c>
      <c r="D271" s="95" t="s">
        <v>283</v>
      </c>
      <c r="E271" s="109" t="s">
        <v>1032</v>
      </c>
      <c r="F271" s="95" t="s">
        <v>1033</v>
      </c>
      <c r="G271" s="347" t="s">
        <v>1034</v>
      </c>
      <c r="H271" s="348"/>
      <c r="I271" s="180"/>
      <c r="J271" s="181"/>
      <c r="K271" s="213" t="s">
        <v>1035</v>
      </c>
      <c r="L271" s="231">
        <f>"Registration (for second half, after 15:00):  https://www.surveymonkey.com/r/QLB3SHM"</f>
        <v>0</v>
      </c>
      <c r="M271" s="150">
        <f>"Agenda (for second half):  https://ertico.com/wp-content/uploads/2019/08/2019-ERTICO-Think-Tank_Non-Partners.pdf"</f>
        <v>0</v>
      </c>
      <c r="N271" s="349"/>
      <c r="O271" s="104" t="s">
        <v>635</v>
      </c>
      <c r="P271" s="197">
        <f>"http://ertico.com/projects/congresses/"</f>
        <v>0</v>
      </c>
      <c r="Q271" s="105" t="s">
        <v>54</v>
      </c>
      <c r="R271" s="115" t="s">
        <v>73</v>
      </c>
      <c r="S271" s="11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</row>
    <row r="272" spans="1:64" s="91" customFormat="1" ht="18.75" customHeight="1">
      <c r="A272" s="92" t="s">
        <v>1036</v>
      </c>
      <c r="B272" s="95" t="s">
        <v>1037</v>
      </c>
      <c r="C272" s="186">
        <f>"https://driveelectricweek.org/"</f>
        <v>0</v>
      </c>
      <c r="D272" s="95" t="s">
        <v>1038</v>
      </c>
      <c r="E272" s="109" t="s">
        <v>1039</v>
      </c>
      <c r="F272" s="95" t="s">
        <v>103</v>
      </c>
      <c r="G272" s="96" t="s">
        <v>1040</v>
      </c>
      <c r="H272" s="97"/>
      <c r="I272" s="98"/>
      <c r="J272" s="112"/>
      <c r="K272" s="154"/>
      <c r="L272" s="190">
        <f>"2018 Events: https://driveelectricweek.org/events.php?year=2018#search-event"</f>
        <v>0</v>
      </c>
      <c r="M272" s="190"/>
      <c r="N272" s="190"/>
      <c r="O272" s="104" t="s">
        <v>106</v>
      </c>
      <c r="P272" s="95" t="s">
        <v>107</v>
      </c>
      <c r="Q272" s="105" t="s">
        <v>108</v>
      </c>
      <c r="R272" s="106" t="s">
        <v>109</v>
      </c>
      <c r="S272" s="11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64" s="91" customFormat="1" ht="18.75" customHeight="1">
      <c r="A273" s="92"/>
      <c r="B273" s="95"/>
      <c r="C273" s="186"/>
      <c r="D273" s="95"/>
      <c r="E273" s="109"/>
      <c r="F273" s="95"/>
      <c r="G273" s="96"/>
      <c r="H273" s="97"/>
      <c r="I273" s="98"/>
      <c r="J273" s="112"/>
      <c r="K273" s="154"/>
      <c r="L273" s="190">
        <f>"2019 Events:  https://driveelectricweek.org/events.php?year=2019#search-event"</f>
        <v>0</v>
      </c>
      <c r="M273" s="190"/>
      <c r="N273" s="190"/>
      <c r="O273" s="104"/>
      <c r="P273" s="95"/>
      <c r="Q273" s="105"/>
      <c r="R273" s="106"/>
      <c r="S273" s="11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</row>
    <row r="274" spans="1:64" s="91" customFormat="1" ht="18.75" customHeight="1">
      <c r="A274" s="92"/>
      <c r="B274" s="92"/>
      <c r="C274" s="92"/>
      <c r="D274" s="92"/>
      <c r="E274" s="109"/>
      <c r="F274" s="95"/>
      <c r="G274" s="96"/>
      <c r="H274" s="97"/>
      <c r="I274" s="98"/>
      <c r="J274" s="112"/>
      <c r="K274" s="154"/>
      <c r="L274" s="190">
        <f>"Volunteer to Organize an Event: https://driveelectricweek.org/volunteer.php?register"</f>
        <v>0</v>
      </c>
      <c r="M274" s="190"/>
      <c r="N274" s="190"/>
      <c r="O274" s="104"/>
      <c r="P274" s="95"/>
      <c r="Q274" s="105"/>
      <c r="R274" s="106"/>
      <c r="S274" s="11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64" s="91" customFormat="1" ht="18.75" customHeight="1">
      <c r="A275" s="92"/>
      <c r="B275" s="92"/>
      <c r="C275" s="92"/>
      <c r="D275" s="92"/>
      <c r="E275" s="109"/>
      <c r="F275" s="95"/>
      <c r="G275" s="96"/>
      <c r="H275" s="97"/>
      <c r="I275" s="98"/>
      <c r="J275" s="112"/>
      <c r="K275" s="154"/>
      <c r="L275" s="190">
        <f>"Learn about Hosting an Event:  https://driveelectricweek.org/resources.php"</f>
        <v>0</v>
      </c>
      <c r="M275" s="190"/>
      <c r="N275" s="190"/>
      <c r="O275" s="104"/>
      <c r="P275" s="95"/>
      <c r="Q275" s="105"/>
      <c r="R275" s="106"/>
      <c r="S275" s="11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</row>
    <row r="276" spans="1:64" s="91" customFormat="1" ht="18.75" customHeight="1">
      <c r="A276" s="92"/>
      <c r="B276" s="95"/>
      <c r="C276" s="186"/>
      <c r="D276" s="95"/>
      <c r="E276" s="109"/>
      <c r="F276" s="95"/>
      <c r="G276" s="96"/>
      <c r="H276" s="97"/>
      <c r="I276" s="98"/>
      <c r="J276" s="112"/>
      <c r="K276" s="154"/>
      <c r="L276" s="190">
        <f>"Sponsorship:  https://driveelectricweek.org/sponsorship.php"</f>
        <v>0</v>
      </c>
      <c r="M276" s="190"/>
      <c r="N276" s="190"/>
      <c r="O276" s="104"/>
      <c r="P276" s="104"/>
      <c r="Q276" s="105"/>
      <c r="R276" s="106"/>
      <c r="S276" s="11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64" s="91" customFormat="1" ht="60.75" customHeight="1">
      <c r="A277" s="303" t="s">
        <v>1041</v>
      </c>
      <c r="B277" s="95" t="s">
        <v>1042</v>
      </c>
      <c r="C277" s="94">
        <f>"https://www.combustioninstitute.org/ci-event/the-14th-international-conference-on-engines-vehicles/"</f>
        <v>0</v>
      </c>
      <c r="D277" s="95" t="s">
        <v>1043</v>
      </c>
      <c r="E277" s="109" t="s">
        <v>1044</v>
      </c>
      <c r="F277" s="95" t="s">
        <v>1045</v>
      </c>
      <c r="G277" s="96"/>
      <c r="H277" s="97"/>
      <c r="I277" s="98"/>
      <c r="J277" s="112"/>
      <c r="K277" s="154"/>
      <c r="L277" s="101"/>
      <c r="M277" s="349"/>
      <c r="N277" s="349"/>
      <c r="O277" s="104" t="s">
        <v>53</v>
      </c>
      <c r="P277" s="351" t="s">
        <v>91</v>
      </c>
      <c r="Q277" s="352" t="s">
        <v>72</v>
      </c>
      <c r="R277" s="115" t="s">
        <v>73</v>
      </c>
      <c r="S277" s="11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</row>
    <row r="278" spans="1:64" s="91" customFormat="1" ht="57" customHeight="1">
      <c r="A278" s="303"/>
      <c r="B278" s="95"/>
      <c r="C278" s="94">
        <f>"http://pems4nano.eu/events/ice2019-14th-international-conference-engines-vehicles/"</f>
        <v>0</v>
      </c>
      <c r="D278" s="95"/>
      <c r="E278" s="109"/>
      <c r="F278" s="95"/>
      <c r="G278" s="96"/>
      <c r="H278" s="97"/>
      <c r="I278" s="98"/>
      <c r="J278" s="112"/>
      <c r="K278" s="154"/>
      <c r="L278" s="101"/>
      <c r="M278" s="349"/>
      <c r="N278" s="349"/>
      <c r="O278" s="104"/>
      <c r="P278" s="351"/>
      <c r="Q278" s="352"/>
      <c r="R278" s="115"/>
      <c r="S278" s="11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</row>
    <row r="279" spans="1:64" s="91" customFormat="1" ht="57" customHeight="1">
      <c r="A279" s="303"/>
      <c r="B279" s="95"/>
      <c r="C279" s="94">
        <f>"https://dieper-project.eu/events/ice2019-14th-international-conference-engines-vehicles/"</f>
        <v>0</v>
      </c>
      <c r="D279" s="95"/>
      <c r="E279" s="109"/>
      <c r="F279" s="95"/>
      <c r="G279" s="96"/>
      <c r="H279" s="97"/>
      <c r="I279" s="98"/>
      <c r="J279" s="112"/>
      <c r="K279" s="154"/>
      <c r="L279" s="101"/>
      <c r="M279" s="349"/>
      <c r="N279" s="349"/>
      <c r="O279" s="104"/>
      <c r="P279" s="351"/>
      <c r="Q279" s="352"/>
      <c r="R279" s="115"/>
      <c r="S279" s="11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</row>
    <row r="280" spans="1:64" s="91" customFormat="1" ht="26.25" customHeight="1">
      <c r="A280" s="92" t="s">
        <v>1046</v>
      </c>
      <c r="B280" s="93" t="s">
        <v>1047</v>
      </c>
      <c r="C280" s="186">
        <f>"Series page:  http://www.sbirroadtour.com/"</f>
        <v>0</v>
      </c>
      <c r="D280" s="95"/>
      <c r="E280" s="109" t="s">
        <v>1048</v>
      </c>
      <c r="F280" s="95" t="s">
        <v>537</v>
      </c>
      <c r="G280" s="96"/>
      <c r="H280" s="97"/>
      <c r="I280" s="98" t="s">
        <v>1049</v>
      </c>
      <c r="J280" s="268"/>
      <c r="K280" s="100" t="s">
        <v>1050</v>
      </c>
      <c r="L280" s="271" t="s">
        <v>1051</v>
      </c>
      <c r="M280" s="272" t="s">
        <v>540</v>
      </c>
      <c r="N280" s="273" t="s">
        <v>541</v>
      </c>
      <c r="O280" s="265" t="s">
        <v>542</v>
      </c>
      <c r="P280" s="197">
        <f>"https://www.sba.gov/"</f>
        <v>0</v>
      </c>
      <c r="Q280" s="266" t="s">
        <v>72</v>
      </c>
      <c r="R280" s="267" t="s">
        <v>73</v>
      </c>
      <c r="S280" s="11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</row>
    <row r="281" spans="1:64" s="91" customFormat="1" ht="61.5" customHeight="1">
      <c r="A281" s="92"/>
      <c r="B281" s="93"/>
      <c r="C281" s="186"/>
      <c r="D281" s="95" t="s">
        <v>1052</v>
      </c>
      <c r="E281" s="353" t="s">
        <v>1053</v>
      </c>
      <c r="F281" s="95"/>
      <c r="G281" s="96"/>
      <c r="H281" s="97"/>
      <c r="I281" s="98"/>
      <c r="J281" s="268"/>
      <c r="K281" s="100"/>
      <c r="L281" s="190">
        <f>"University of Vermont (UVM Innovations):  https://www.uvm.edu/uvminnovations"</f>
        <v>0</v>
      </c>
      <c r="M281" s="102">
        <f>"https://accd.vermont.gov/economic-development/major-initiatives/sbir-road-tour"</f>
        <v>0</v>
      </c>
      <c r="N281" s="274">
        <f>"https://appengine.egov.com/apps/vt/DED_SBIR2019"</f>
        <v>0</v>
      </c>
      <c r="O281" s="265"/>
      <c r="P281" s="197"/>
      <c r="Q281" s="266"/>
      <c r="R281" s="267"/>
      <c r="S281" s="11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</row>
    <row r="282" spans="1:64" s="91" customFormat="1" ht="30" customHeight="1">
      <c r="A282" s="92"/>
      <c r="B282" s="93"/>
      <c r="C282" s="186"/>
      <c r="D282" s="95" t="s">
        <v>1054</v>
      </c>
      <c r="E282" s="95" t="s">
        <v>1055</v>
      </c>
      <c r="F282" s="95"/>
      <c r="G282" s="96"/>
      <c r="H282" s="97"/>
      <c r="I282" s="98" t="s">
        <v>1056</v>
      </c>
      <c r="J282" s="257" t="s">
        <v>1057</v>
      </c>
      <c r="K282" s="100">
        <f>"mailto:kbaker@albany.edu"</f>
        <v>0</v>
      </c>
      <c r="L282" s="101">
        <f>"NY Small Business Development Center:  http://www.nyssbdc.org/"</f>
        <v>0</v>
      </c>
      <c r="M282" s="102">
        <f>"http://nysbdc.com/SBIR/Registration.html"</f>
        <v>0</v>
      </c>
      <c r="N282" s="274">
        <f>"https://www2.eventsxd.com/event/9868/albanysbasbirroadtour/register"</f>
        <v>0</v>
      </c>
      <c r="O282" s="265"/>
      <c r="P282" s="197"/>
      <c r="Q282" s="266"/>
      <c r="R282" s="267"/>
      <c r="S282" s="11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</row>
    <row r="283" spans="1:64" s="91" customFormat="1" ht="60" customHeight="1">
      <c r="A283" s="92"/>
      <c r="B283" s="93"/>
      <c r="C283" s="186"/>
      <c r="D283" s="95"/>
      <c r="E283" s="95"/>
      <c r="F283" s="95"/>
      <c r="G283" s="96"/>
      <c r="H283" s="97"/>
      <c r="I283" s="98"/>
      <c r="J283" s="257"/>
      <c r="K283" s="100"/>
      <c r="L283" s="101">
        <f>"SUNY (State University of NY), Innovation Center at the University at Albany:  https://www.albany.edu/innovation/; https://www.albany.edu/biz-ualbany/"</f>
        <v>0</v>
      </c>
      <c r="M283" s="102"/>
      <c r="N283" s="274"/>
      <c r="O283" s="265"/>
      <c r="P283" s="197"/>
      <c r="Q283" s="266"/>
      <c r="R283" s="267"/>
      <c r="S283" s="11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</row>
    <row r="284" spans="1:64" s="91" customFormat="1" ht="36.75" customHeight="1">
      <c r="A284" s="92"/>
      <c r="B284" s="93"/>
      <c r="C284" s="186"/>
      <c r="D284" s="95"/>
      <c r="E284" s="95"/>
      <c r="F284" s="95"/>
      <c r="G284" s="96"/>
      <c r="H284" s="97"/>
      <c r="I284" s="98"/>
      <c r="J284" s="257"/>
      <c r="K284" s="100"/>
      <c r="L284" s="101">
        <f>"Innovate 518:  https://www.innovate518.com/; https://www.albany.edu/innovate518/"</f>
        <v>0</v>
      </c>
      <c r="M284" s="102"/>
      <c r="N284" s="274"/>
      <c r="O284" s="265"/>
      <c r="P284" s="197"/>
      <c r="Q284" s="266"/>
      <c r="R284" s="267"/>
      <c r="S284" s="11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</row>
    <row r="285" spans="1:64" s="91" customFormat="1" ht="28.5" customHeight="1">
      <c r="A285" s="92"/>
      <c r="B285" s="93"/>
      <c r="C285" s="186"/>
      <c r="D285" s="95" t="s">
        <v>1058</v>
      </c>
      <c r="E285" s="109" t="s">
        <v>1059</v>
      </c>
      <c r="F285" s="95"/>
      <c r="G285" s="96"/>
      <c r="H285" s="97"/>
      <c r="I285" s="98" t="s">
        <v>1060</v>
      </c>
      <c r="J285" s="257">
        <f>"(973) 353-1927"</f>
        <v>0</v>
      </c>
      <c r="K285" s="100">
        <f>"mailto:rgharmon@njsbdc.com"</f>
        <v>0</v>
      </c>
      <c r="L285" s="271" t="s">
        <v>1051</v>
      </c>
      <c r="M285" s="272" t="s">
        <v>540</v>
      </c>
      <c r="N285" s="273" t="s">
        <v>541</v>
      </c>
      <c r="O285" s="265"/>
      <c r="P285" s="197"/>
      <c r="Q285" s="266"/>
      <c r="R285" s="267"/>
      <c r="S285" s="11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</row>
    <row r="286" spans="1:64" s="91" customFormat="1" ht="19.5" customHeight="1">
      <c r="A286" s="92"/>
      <c r="B286" s="93"/>
      <c r="C286" s="186"/>
      <c r="D286" s="95"/>
      <c r="E286" s="109"/>
      <c r="F286" s="95"/>
      <c r="G286" s="96"/>
      <c r="H286" s="97"/>
      <c r="I286" s="98"/>
      <c r="J286" s="257"/>
      <c r="K286" s="100"/>
      <c r="L286" s="101">
        <f>"&lt;key sponsors&gt;"</f>
        <v>0</v>
      </c>
      <c r="M286" s="102">
        <f>"https://njsbdc.com/sbir/"</f>
        <v>0</v>
      </c>
      <c r="N286" s="345">
        <f>"https://www.eventbrite.com/e/njsbdc-tech-comm-sbir-road-tour-seeding-americas-future-innovations-tickets-66344858257"</f>
        <v>0</v>
      </c>
      <c r="O286" s="265"/>
      <c r="P286" s="197"/>
      <c r="Q286" s="266"/>
      <c r="R286" s="267"/>
      <c r="S286" s="11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</row>
    <row r="287" spans="1:64" s="91" customFormat="1" ht="30.75" customHeight="1">
      <c r="A287" s="92"/>
      <c r="B287" s="93"/>
      <c r="C287" s="186"/>
      <c r="D287" s="95"/>
      <c r="E287" s="109"/>
      <c r="F287" s="95"/>
      <c r="G287" s="96"/>
      <c r="H287" s="97"/>
      <c r="I287" s="98"/>
      <c r="J287" s="257"/>
      <c r="K287" s="100"/>
      <c r="L287" s="101">
        <f>"NJ Small Business Development Center:  https://njsbdc.com/; https://rsbdc.org/about/"</f>
        <v>0</v>
      </c>
      <c r="M287" s="102"/>
      <c r="N287" s="345"/>
      <c r="O287" s="265"/>
      <c r="P287" s="197"/>
      <c r="Q287" s="266"/>
      <c r="R287" s="267"/>
      <c r="S287" s="11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</row>
    <row r="288" spans="1:64" s="91" customFormat="1" ht="30.75" customHeight="1">
      <c r="A288" s="92"/>
      <c r="B288" s="93"/>
      <c r="C288" s="186"/>
      <c r="D288" s="95"/>
      <c r="E288" s="109"/>
      <c r="F288" s="95"/>
      <c r="G288" s="96"/>
      <c r="H288" s="97"/>
      <c r="I288" s="98"/>
      <c r="J288" s="257"/>
      <c r="K288" s="100"/>
      <c r="L288" s="101">
        <f>"US Small Business Administration:    https://www.sba.gov/"</f>
        <v>0</v>
      </c>
      <c r="M288" s="102"/>
      <c r="N288" s="345"/>
      <c r="O288" s="265"/>
      <c r="P288" s="197"/>
      <c r="Q288" s="266"/>
      <c r="R288" s="267"/>
      <c r="S288" s="11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64" s="91" customFormat="1" ht="18" customHeight="1">
      <c r="A289" s="92"/>
      <c r="B289" s="93"/>
      <c r="C289" s="186"/>
      <c r="D289" s="95"/>
      <c r="E289" s="109"/>
      <c r="F289" s="95"/>
      <c r="G289" s="96"/>
      <c r="H289" s="97"/>
      <c r="I289" s="98"/>
      <c r="J289" s="257"/>
      <c r="K289" s="100"/>
      <c r="L289" s="101">
        <f>"EisnerAmper:   https://www.eisneramper.com/"</f>
        <v>0</v>
      </c>
      <c r="M289" s="102"/>
      <c r="N289" s="345"/>
      <c r="O289" s="265"/>
      <c r="P289" s="197"/>
      <c r="Q289" s="266"/>
      <c r="R289" s="267"/>
      <c r="S289" s="11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64" s="91" customFormat="1" ht="30.75" customHeight="1">
      <c r="A290" s="92"/>
      <c r="B290" s="93"/>
      <c r="C290" s="186"/>
      <c r="D290" s="95"/>
      <c r="E290" s="109"/>
      <c r="F290" s="95"/>
      <c r="G290" s="96"/>
      <c r="H290" s="97"/>
      <c r="I290" s="98"/>
      <c r="J290" s="257"/>
      <c r="K290" s="100"/>
      <c r="L290" s="101">
        <f>"McCarter &amp; English:   https://www.mccarter.com/"</f>
        <v>0</v>
      </c>
      <c r="M290" s="102"/>
      <c r="N290" s="345"/>
      <c r="O290" s="265"/>
      <c r="P290" s="197"/>
      <c r="Q290" s="266"/>
      <c r="R290" s="267"/>
      <c r="S290" s="11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</row>
    <row r="291" spans="1:64" s="91" customFormat="1" ht="20.25" customHeight="1">
      <c r="A291" s="92"/>
      <c r="B291" s="93"/>
      <c r="C291" s="186"/>
      <c r="D291" s="95"/>
      <c r="E291" s="109"/>
      <c r="F291" s="95"/>
      <c r="G291" s="96"/>
      <c r="H291" s="97"/>
      <c r="I291" s="98"/>
      <c r="J291" s="257"/>
      <c r="K291" s="100"/>
      <c r="L291" s="101">
        <f>"&lt;Sponsoring Organizations&gt;"</f>
        <v>0</v>
      </c>
      <c r="M291" s="102"/>
      <c r="N291" s="345"/>
      <c r="O291" s="265"/>
      <c r="P291" s="197"/>
      <c r="Q291" s="266"/>
      <c r="R291" s="267"/>
      <c r="S291" s="11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64" s="91" customFormat="1" ht="30.75" customHeight="1">
      <c r="A292" s="92"/>
      <c r="B292" s="93"/>
      <c r="C292" s="186"/>
      <c r="D292" s="95"/>
      <c r="E292" s="109"/>
      <c r="F292" s="95"/>
      <c r="G292" s="96"/>
      <c r="H292" s="97"/>
      <c r="I292" s="98"/>
      <c r="J292" s="257"/>
      <c r="K292" s="100"/>
      <c r="L292" s="354">
        <f>"BioNJ:   https://bionj.org/; https://bionj.org/about-bionj"</f>
        <v>0</v>
      </c>
      <c r="M292" s="102"/>
      <c r="N292" s="345"/>
      <c r="O292" s="265"/>
      <c r="P292" s="197"/>
      <c r="Q292" s="266"/>
      <c r="R292" s="267"/>
      <c r="S292" s="11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64" s="91" customFormat="1" ht="18" customHeight="1">
      <c r="A293" s="92"/>
      <c r="B293" s="93"/>
      <c r="C293" s="186"/>
      <c r="D293" s="95"/>
      <c r="E293" s="109"/>
      <c r="F293" s="95"/>
      <c r="G293" s="96"/>
      <c r="H293" s="97"/>
      <c r="I293" s="98"/>
      <c r="J293" s="257"/>
      <c r="K293" s="100"/>
      <c r="L293" s="101">
        <f>"Rutgers University:   https://www.rutgers.edu/"</f>
        <v>0</v>
      </c>
      <c r="M293" s="102"/>
      <c r="N293" s="345"/>
      <c r="O293" s="265"/>
      <c r="P293" s="197"/>
      <c r="Q293" s="266"/>
      <c r="R293" s="267"/>
      <c r="S293" s="11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</row>
    <row r="294" spans="1:64" s="91" customFormat="1" ht="18" customHeight="1">
      <c r="A294" s="92"/>
      <c r="B294" s="93"/>
      <c r="C294" s="186"/>
      <c r="D294" s="95"/>
      <c r="E294" s="109"/>
      <c r="F294" s="95"/>
      <c r="G294" s="96"/>
      <c r="H294" s="97"/>
      <c r="I294" s="98"/>
      <c r="J294" s="257"/>
      <c r="K294" s="100"/>
      <c r="L294" s="101">
        <f>"&lt;Supporting organizations&gt;"</f>
        <v>0</v>
      </c>
      <c r="M294" s="102"/>
      <c r="N294" s="345"/>
      <c r="O294" s="265"/>
      <c r="P294" s="197"/>
      <c r="Q294" s="266"/>
      <c r="R294" s="267"/>
      <c r="S294" s="11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64" s="91" customFormat="1" ht="32.25" customHeight="1">
      <c r="A295" s="92"/>
      <c r="B295" s="93"/>
      <c r="C295" s="186"/>
      <c r="D295" s="95"/>
      <c r="E295" s="109"/>
      <c r="F295" s="95"/>
      <c r="G295" s="96"/>
      <c r="H295" s="97"/>
      <c r="I295" s="98"/>
      <c r="J295" s="257"/>
      <c r="K295" s="100"/>
      <c r="L295" s="101">
        <f>"NJ Business Incubation Network:   https://www.njbin.org/"</f>
        <v>0</v>
      </c>
      <c r="M295" s="102"/>
      <c r="N295" s="345"/>
      <c r="O295" s="265"/>
      <c r="P295" s="197"/>
      <c r="Q295" s="266"/>
      <c r="R295" s="267"/>
      <c r="S295" s="11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</row>
    <row r="296" spans="1:64" s="91" customFormat="1" ht="29.25" customHeight="1">
      <c r="A296" s="92"/>
      <c r="B296" s="93"/>
      <c r="C296" s="186"/>
      <c r="D296" s="95"/>
      <c r="E296" s="109"/>
      <c r="F296" s="95"/>
      <c r="G296" s="96"/>
      <c r="H296" s="97"/>
      <c r="I296" s="98"/>
      <c r="J296" s="257"/>
      <c r="K296" s="100"/>
      <c r="L296" s="101">
        <f>"New Jersey Innovation Institute:   https://njii.com/"</f>
        <v>0</v>
      </c>
      <c r="M296" s="102"/>
      <c r="N296" s="345"/>
      <c r="O296" s="265"/>
      <c r="P296" s="197"/>
      <c r="Q296" s="266"/>
      <c r="R296" s="267"/>
      <c r="S296" s="11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</row>
    <row r="297" spans="1:64" s="91" customFormat="1" ht="21.75" customHeight="1">
      <c r="A297" s="92"/>
      <c r="B297" s="93"/>
      <c r="C297" s="94" t="s">
        <v>1061</v>
      </c>
      <c r="D297" s="95"/>
      <c r="E297" s="109"/>
      <c r="F297" s="95"/>
      <c r="G297" s="96"/>
      <c r="H297" s="97"/>
      <c r="I297" s="98"/>
      <c r="J297" s="257"/>
      <c r="K297" s="100"/>
      <c r="L297" s="101">
        <f>"NJ Tech Council:   https://njtc.org/"</f>
        <v>0</v>
      </c>
      <c r="M297" s="102"/>
      <c r="N297" s="345"/>
      <c r="O297" s="265"/>
      <c r="P297" s="197"/>
      <c r="Q297" s="266"/>
      <c r="R297" s="267"/>
      <c r="S297" s="11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</row>
    <row r="298" spans="1:64" s="91" customFormat="1" ht="30.75" customHeight="1">
      <c r="A298" s="92"/>
      <c r="B298" s="93"/>
      <c r="C298" s="94"/>
      <c r="D298" s="95"/>
      <c r="E298" s="109"/>
      <c r="F298" s="95"/>
      <c r="G298" s="96"/>
      <c r="H298" s="97"/>
      <c r="I298" s="98"/>
      <c r="J298" s="257"/>
      <c r="K298" s="100"/>
      <c r="L298" s="101">
        <f>"Princeton University:   https://www.princeton.edu/"</f>
        <v>0</v>
      </c>
      <c r="M298" s="102"/>
      <c r="N298" s="345"/>
      <c r="O298" s="265"/>
      <c r="P298" s="197"/>
      <c r="Q298" s="266"/>
      <c r="R298" s="267"/>
      <c r="S298" s="11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</row>
    <row r="299" spans="1:64" s="91" customFormat="1" ht="15.75" customHeight="1">
      <c r="A299" s="92"/>
      <c r="B299" s="93"/>
      <c r="C299" s="94"/>
      <c r="D299" s="95"/>
      <c r="E299" s="109"/>
      <c r="F299" s="95"/>
      <c r="G299" s="96"/>
      <c r="H299" s="97"/>
      <c r="I299" s="98"/>
      <c r="J299" s="257"/>
      <c r="K299" s="100"/>
      <c r="L299" s="101">
        <f>"TechLaunch:   http://www.techlaunch.com/"</f>
        <v>0</v>
      </c>
      <c r="M299" s="102"/>
      <c r="N299" s="345"/>
      <c r="O299" s="265"/>
      <c r="P299" s="197"/>
      <c r="Q299" s="266"/>
      <c r="R299" s="267"/>
      <c r="S299" s="11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</row>
    <row r="300" spans="1:64" s="91" customFormat="1" ht="15.75" customHeight="1">
      <c r="A300" s="92"/>
      <c r="B300" s="93"/>
      <c r="C300" s="94"/>
      <c r="D300" s="95"/>
      <c r="E300" s="109"/>
      <c r="F300" s="95"/>
      <c r="G300" s="96"/>
      <c r="H300" s="97"/>
      <c r="I300" s="98"/>
      <c r="J300" s="257"/>
      <c r="K300" s="100"/>
      <c r="L300" s="101">
        <f>"Stevens Institute:  https://www.stevens.edu/"</f>
        <v>0</v>
      </c>
      <c r="M300" s="102"/>
      <c r="N300" s="345"/>
      <c r="O300" s="265"/>
      <c r="P300" s="197"/>
      <c r="Q300" s="266"/>
      <c r="R300" s="267"/>
      <c r="S300" s="11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</row>
    <row r="301" spans="1:64" s="91" customFormat="1" ht="26.25" customHeight="1">
      <c r="A301" s="92"/>
      <c r="B301" s="93"/>
      <c r="C301" s="94"/>
      <c r="D301" s="95"/>
      <c r="E301" s="109"/>
      <c r="F301" s="95"/>
      <c r="G301" s="96"/>
      <c r="H301" s="97"/>
      <c r="I301" s="98"/>
      <c r="J301" s="257"/>
      <c r="K301" s="100"/>
      <c r="L301" s="101">
        <f>"NJ EDA (New Jersey Economic Development Authority):  https://www.njeda.com/"</f>
        <v>0</v>
      </c>
      <c r="M301" s="102"/>
      <c r="N301" s="345"/>
      <c r="O301" s="265"/>
      <c r="P301" s="197"/>
      <c r="Q301" s="266"/>
      <c r="R301" s="267"/>
      <c r="S301" s="11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</row>
    <row r="302" spans="1:64" s="91" customFormat="1" ht="29.25" customHeight="1">
      <c r="A302" s="92"/>
      <c r="B302" s="93"/>
      <c r="C302" s="94"/>
      <c r="D302" s="95" t="s">
        <v>1062</v>
      </c>
      <c r="E302" s="95" t="s">
        <v>1063</v>
      </c>
      <c r="F302" s="95"/>
      <c r="G302" s="96"/>
      <c r="H302" s="97"/>
      <c r="I302" s="98" t="s">
        <v>1064</v>
      </c>
      <c r="J302" s="268" t="s">
        <v>1065</v>
      </c>
      <c r="K302" s="100" t="s">
        <v>1066</v>
      </c>
      <c r="L302" s="271" t="s">
        <v>1051</v>
      </c>
      <c r="M302" s="272" t="s">
        <v>540</v>
      </c>
      <c r="N302" s="273" t="s">
        <v>541</v>
      </c>
      <c r="O302" s="265"/>
      <c r="P302" s="197"/>
      <c r="Q302" s="266"/>
      <c r="R302" s="267"/>
      <c r="S302" s="11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</row>
    <row r="303" spans="1:64" s="91" customFormat="1" ht="57.75" customHeight="1">
      <c r="A303" s="92"/>
      <c r="B303" s="93"/>
      <c r="C303" s="94"/>
      <c r="D303" s="95"/>
      <c r="E303" s="95"/>
      <c r="F303" s="95"/>
      <c r="G303" s="96"/>
      <c r="H303" s="97"/>
      <c r="I303" s="98"/>
      <c r="J303" s="268"/>
      <c r="K303" s="100"/>
      <c r="L303" s="113">
        <f>"Invent Penn State:   https://invent.psu.edu/"</f>
        <v>0</v>
      </c>
      <c r="M303" s="102">
        <f>"https://sbdc.psu.edu/events/sbir-road-tour/"</f>
        <v>0</v>
      </c>
      <c r="N303" s="274">
        <f>"https://register.outreach.psu.edu/portal/events/reg/participantTypeSelection.do?method=load&amp;entityId=20735002"</f>
        <v>0</v>
      </c>
      <c r="O303" s="265"/>
      <c r="P303" s="197"/>
      <c r="Q303" s="266"/>
      <c r="R303" s="267"/>
      <c r="S303" s="11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</row>
    <row r="304" spans="1:64" s="91" customFormat="1" ht="42" customHeight="1">
      <c r="A304" s="92"/>
      <c r="B304" s="93"/>
      <c r="C304" s="94"/>
      <c r="D304" s="95"/>
      <c r="E304" s="95"/>
      <c r="F304" s="95"/>
      <c r="G304" s="96"/>
      <c r="H304" s="97"/>
      <c r="I304" s="98"/>
      <c r="J304" s="268"/>
      <c r="K304" s="100"/>
      <c r="L304" s="113">
        <f>"Penn State Small Business Development Center:   https://sbdc.psu.edu/"</f>
        <v>0</v>
      </c>
      <c r="M304" s="102"/>
      <c r="N304" s="274"/>
      <c r="O304" s="265"/>
      <c r="P304" s="197"/>
      <c r="Q304" s="266"/>
      <c r="R304" s="267"/>
      <c r="S304" s="11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</row>
    <row r="305" spans="1:64" s="91" customFormat="1" ht="42" customHeight="1">
      <c r="A305" s="92"/>
      <c r="B305" s="93"/>
      <c r="C305" s="94"/>
      <c r="D305" s="95"/>
      <c r="E305" s="95"/>
      <c r="F305" s="95"/>
      <c r="G305" s="96"/>
      <c r="H305" s="97"/>
      <c r="I305" s="98"/>
      <c r="J305" s="268"/>
      <c r="K305" s="100"/>
      <c r="L305" s="113">
        <f>"Ben Franklin Technology Partners of Central &amp; Northern PA:   https://cnp.benfranklin.org/"</f>
        <v>0</v>
      </c>
      <c r="M305" s="102"/>
      <c r="N305" s="274"/>
      <c r="O305" s="265"/>
      <c r="P305" s="197"/>
      <c r="Q305" s="266"/>
      <c r="R305" s="267"/>
      <c r="S305" s="11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</row>
    <row r="306" spans="1:64" s="91" customFormat="1" ht="49.5" customHeight="1">
      <c r="A306" s="92"/>
      <c r="B306" s="93"/>
      <c r="C306" s="94"/>
      <c r="D306" s="95" t="s">
        <v>1067</v>
      </c>
      <c r="E306" s="109" t="s">
        <v>1068</v>
      </c>
      <c r="F306" s="95"/>
      <c r="G306" s="96"/>
      <c r="H306" s="97"/>
      <c r="I306" s="98" t="s">
        <v>1069</v>
      </c>
      <c r="J306" s="112"/>
      <c r="K306" s="100">
        <f>"mailto:acmccoy@umd.edu"</f>
        <v>0</v>
      </c>
      <c r="L306" s="101">
        <f>"University of Maryland:  https://www.umd.edu/"</f>
        <v>0</v>
      </c>
      <c r="M306" s="262">
        <f>"https://www.umventures.org/events/sbir-road-tour-seeding-americas-future-innovations"</f>
        <v>0</v>
      </c>
      <c r="N306" s="274">
        <f>"https://www.eventbrite.com/e/sbir-road-tour-2019-tickets-66690833077"</f>
        <v>0</v>
      </c>
      <c r="O306" s="265"/>
      <c r="P306" s="197"/>
      <c r="Q306" s="266"/>
      <c r="R306" s="267"/>
      <c r="S306" s="11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</row>
    <row r="307" spans="1:64" s="91" customFormat="1" ht="51" customHeight="1">
      <c r="A307" s="92"/>
      <c r="B307" s="93"/>
      <c r="C307" s="94"/>
      <c r="D307" s="95"/>
      <c r="E307" s="109"/>
      <c r="F307" s="95"/>
      <c r="G307" s="96"/>
      <c r="H307" s="97"/>
      <c r="I307" s="98"/>
      <c r="J307" s="112"/>
      <c r="K307" s="100"/>
      <c r="L307" s="101">
        <f>"MD Small Business Development Center:  http://www.mdsbdc.umd.edu/"</f>
        <v>0</v>
      </c>
      <c r="M307" s="262"/>
      <c r="N307" s="274"/>
      <c r="O307" s="265"/>
      <c r="P307" s="197"/>
      <c r="Q307" s="266"/>
      <c r="R307" s="267"/>
      <c r="S307" s="11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</row>
    <row r="308" spans="1:64" s="91" customFormat="1" ht="45.75" customHeight="1">
      <c r="A308" s="303" t="s">
        <v>1070</v>
      </c>
      <c r="B308" s="93" t="s">
        <v>1071</v>
      </c>
      <c r="C308" s="186">
        <f>"https://www.volpe.dot.gov/event/general-stephen-r-lyons-us-transcom"</f>
        <v>0</v>
      </c>
      <c r="D308" s="95" t="s">
        <v>598</v>
      </c>
      <c r="E308" s="109" t="s">
        <v>1072</v>
      </c>
      <c r="F308" s="95" t="s">
        <v>1073</v>
      </c>
      <c r="G308" s="276"/>
      <c r="H308" s="277" t="s">
        <v>1074</v>
      </c>
      <c r="I308" s="98" t="s">
        <v>602</v>
      </c>
      <c r="J308" s="268" t="s">
        <v>603</v>
      </c>
      <c r="K308" s="100" t="s">
        <v>604</v>
      </c>
      <c r="L308" s="113">
        <f>"You must register -- Registration Information:  https://www.volpe.dot.gov/events/how-to-attend"</f>
        <v>0</v>
      </c>
      <c r="M308" s="262">
        <f>"Series:  &amp;ldqo;Our New Mobility Future&amp;rdqo; Thought Leadership Series:  https://www.volpe.dot.gov/events/our-new-mobility-future"</f>
        <v>0</v>
      </c>
      <c r="N308" s="278"/>
      <c r="O308" s="104" t="s">
        <v>605</v>
      </c>
      <c r="P308" s="95" t="s">
        <v>606</v>
      </c>
      <c r="Q308" s="297" t="s">
        <v>607</v>
      </c>
      <c r="R308" s="106" t="s">
        <v>55</v>
      </c>
      <c r="S308" s="11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</row>
    <row r="309" spans="1:64" s="91" customFormat="1" ht="45.75" customHeight="1">
      <c r="A309" s="303"/>
      <c r="B309" s="93"/>
      <c r="C309" s="186"/>
      <c r="D309" s="95"/>
      <c r="E309" s="109"/>
      <c r="F309" s="95"/>
      <c r="G309" s="276"/>
      <c r="H309" s="277"/>
      <c r="I309" s="98"/>
      <c r="J309" s="268"/>
      <c r="K309" s="100"/>
      <c r="L309" s="113">
        <f>"Free reservation page: https://volpe-events.webex.com/mw3300/mywebex/default.do?siteurl=volpe-events"</f>
        <v>0</v>
      </c>
      <c r="M309" s="262"/>
      <c r="N309" s="278"/>
      <c r="O309" s="183" t="s">
        <v>608</v>
      </c>
      <c r="P309" s="279">
        <f>"https://www.volpe.dot.gov/upcoming-events"</f>
        <v>0</v>
      </c>
      <c r="Q309" s="297"/>
      <c r="R309" s="106"/>
      <c r="S309" s="11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</row>
    <row r="310" spans="1:64" s="91" customFormat="1" ht="60.75" customHeight="1">
      <c r="A310" s="92" t="s">
        <v>1075</v>
      </c>
      <c r="B310" s="355">
        <f>"C2C-XLF"</f>
        <v>0</v>
      </c>
      <c r="C310" s="94">
        <f>"https://www.sae.org/attend/connect2car-executive-leadership-forum"</f>
        <v>0</v>
      </c>
      <c r="D310" s="95" t="s">
        <v>447</v>
      </c>
      <c r="E310" s="301" t="s">
        <v>1076</v>
      </c>
      <c r="F310" s="95" t="s">
        <v>1077</v>
      </c>
      <c r="G310" s="96" t="s">
        <v>1078</v>
      </c>
      <c r="H310" s="97"/>
      <c r="I310" s="98"/>
      <c r="J310" s="268"/>
      <c r="K310" s="100">
        <f>"Request for Invitation:  https://www.sae.org/attend/connect2car-executive-leadership-forum/invite"</f>
        <v>0</v>
      </c>
      <c r="L310" s="101"/>
      <c r="M310" s="102"/>
      <c r="N310" s="274"/>
      <c r="O310" s="141" t="s">
        <v>53</v>
      </c>
      <c r="P310" s="95">
        <f>"https://www.sae.org/attend/"</f>
        <v>0</v>
      </c>
      <c r="Q310" s="105" t="s">
        <v>72</v>
      </c>
      <c r="R310" s="115" t="s">
        <v>73</v>
      </c>
      <c r="S310" s="11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</row>
    <row r="311" spans="1:64" s="91" customFormat="1" ht="45" customHeight="1">
      <c r="A311" s="303" t="s">
        <v>1079</v>
      </c>
      <c r="B311" s="197" t="s">
        <v>1080</v>
      </c>
      <c r="C311" s="94">
        <f>"https://avere.org/event/emobility-forum-2019/?instance_id=20"</f>
        <v>0</v>
      </c>
      <c r="D311" s="197" t="s">
        <v>1081</v>
      </c>
      <c r="E311" s="109" t="s">
        <v>1082</v>
      </c>
      <c r="F311" s="197" t="s">
        <v>1083</v>
      </c>
      <c r="G311" s="295" t="s">
        <v>1084</v>
      </c>
      <c r="H311" s="145"/>
      <c r="I311" s="98"/>
      <c r="J311" s="112"/>
      <c r="K311" s="100">
        <f>"mailto:info@elektromobilitas.hu"</f>
        <v>0</v>
      </c>
      <c r="L311" s="261"/>
      <c r="M311" s="262"/>
      <c r="N311" s="274"/>
      <c r="O311" s="149" t="s">
        <v>258</v>
      </c>
      <c r="P311" s="150">
        <f>"http://avere.org/"</f>
        <v>0</v>
      </c>
      <c r="Q311" s="274" t="s">
        <v>72</v>
      </c>
      <c r="R311" s="115" t="s">
        <v>73</v>
      </c>
      <c r="S311" s="11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</row>
    <row r="312" spans="1:64" ht="54" customHeight="1">
      <c r="A312" s="303"/>
      <c r="B312" s="197"/>
      <c r="C312" s="319">
        <f>"https://emobilityforum.hu/"</f>
        <v>0</v>
      </c>
      <c r="D312" s="197"/>
      <c r="E312" s="197"/>
      <c r="F312" s="197"/>
      <c r="G312" s="295"/>
      <c r="H312" s="145"/>
      <c r="I312" s="98"/>
      <c r="J312" s="112"/>
      <c r="K312" s="100"/>
      <c r="L312" s="261"/>
      <c r="M312" s="262"/>
      <c r="N312" s="274"/>
      <c r="O312" s="349" t="s">
        <v>1085</v>
      </c>
      <c r="P312" s="102">
        <f>"http://www.elektromobilitas.hu/index.php/en/"</f>
        <v>0</v>
      </c>
      <c r="Q312" s="274"/>
      <c r="R312" s="115"/>
      <c r="S312" s="11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</row>
    <row r="313" spans="1:64" s="91" customFormat="1" ht="60" customHeight="1">
      <c r="A313" s="92" t="s">
        <v>891</v>
      </c>
      <c r="B313" s="93" t="s">
        <v>892</v>
      </c>
      <c r="C313" s="94">
        <f>"Previous Webinar:  https://events.vtools.ieee.org/m/199616"</f>
        <v>0</v>
      </c>
      <c r="D313" s="95"/>
      <c r="E313" s="109">
        <f>"2019/09/18  11:00 – 12:30 EDT (Resched. from 08/14)"</f>
        <v>0</v>
      </c>
      <c r="F313" s="95" t="s">
        <v>894</v>
      </c>
      <c r="G313" s="96" t="s">
        <v>895</v>
      </c>
      <c r="H313" s="97" t="s">
        <v>143</v>
      </c>
      <c r="I313" s="98"/>
      <c r="J313" s="112"/>
      <c r="K313" s="100"/>
      <c r="L313" s="101">
        <f>"Registration and Webinar Details:  https://attendee.gotowebinar.com/register/7052414216445676802"</f>
        <v>0</v>
      </c>
      <c r="M313" s="102">
        <f>"Related video:  https://www.youtube.com/watch?v=j1g0NwhO4Fg"</f>
        <v>0</v>
      </c>
      <c r="N313" s="102"/>
      <c r="O313" s="265" t="s">
        <v>753</v>
      </c>
      <c r="P313" s="197">
        <f>"http://tec.ieee.org/conferences-workshops"</f>
        <v>0</v>
      </c>
      <c r="Q313" s="266" t="s">
        <v>72</v>
      </c>
      <c r="R313" s="267" t="s">
        <v>73</v>
      </c>
      <c r="S313" s="11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</row>
    <row r="314" spans="1:64" s="91" customFormat="1" ht="26.25" customHeight="1">
      <c r="A314" s="175" t="s">
        <v>1086</v>
      </c>
      <c r="B314" s="184" t="s">
        <v>1087</v>
      </c>
      <c r="C314" s="177">
        <f>"https://www.sae.org/attend/naipc/"</f>
        <v>0</v>
      </c>
      <c r="D314" s="197" t="s">
        <v>447</v>
      </c>
      <c r="E314" s="253">
        <f>"2019/09/18 – 20"</f>
        <v>0</v>
      </c>
      <c r="F314" s="197" t="s">
        <v>1088</v>
      </c>
      <c r="G314" s="263" t="s">
        <v>1089</v>
      </c>
      <c r="H314" s="97"/>
      <c r="I314" s="183"/>
      <c r="J314" s="181"/>
      <c r="K314" s="356"/>
      <c r="L314" s="121"/>
      <c r="M314" s="123"/>
      <c r="N314" s="116"/>
      <c r="O314" s="183" t="s">
        <v>53</v>
      </c>
      <c r="P314" s="184">
        <f>"https://www.sae.org/attend/"</f>
        <v>0</v>
      </c>
      <c r="Q314" s="185" t="s">
        <v>72</v>
      </c>
      <c r="R314" s="115" t="s">
        <v>73</v>
      </c>
      <c r="S314" s="11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</row>
    <row r="315" spans="1:64" s="91" customFormat="1" ht="65.25" customHeight="1">
      <c r="A315" s="175"/>
      <c r="B315" s="184"/>
      <c r="C315" s="177">
        <f>"Alt. Link:  https://10times.com/sae-north-american-international-powertrain-conference"</f>
        <v>0</v>
      </c>
      <c r="D315" s="197"/>
      <c r="E315" s="253"/>
      <c r="F315" s="197"/>
      <c r="G315" s="263"/>
      <c r="H315" s="97"/>
      <c r="I315" s="183"/>
      <c r="J315" s="181"/>
      <c r="K315" s="356"/>
      <c r="L315" s="121"/>
      <c r="M315" s="123"/>
      <c r="N315" s="116"/>
      <c r="O315" s="183"/>
      <c r="P315" s="184"/>
      <c r="Q315" s="185"/>
      <c r="R315" s="115"/>
      <c r="S315" s="11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</row>
    <row r="316" spans="1:64" s="91" customFormat="1" ht="50.25" customHeight="1">
      <c r="A316" s="303" t="s">
        <v>1090</v>
      </c>
      <c r="B316" s="93" t="s">
        <v>1091</v>
      </c>
      <c r="C316" s="186">
        <f>"https://www.volpe.dot.gov/event/sarah-kaufman-new-mobility"</f>
        <v>0</v>
      </c>
      <c r="D316" s="197" t="s">
        <v>598</v>
      </c>
      <c r="E316" s="109" t="s">
        <v>1092</v>
      </c>
      <c r="F316" s="197" t="s">
        <v>1093</v>
      </c>
      <c r="G316" s="276"/>
      <c r="H316" s="277" t="s">
        <v>1094</v>
      </c>
      <c r="I316" s="98" t="s">
        <v>602</v>
      </c>
      <c r="J316" s="268" t="s">
        <v>603</v>
      </c>
      <c r="K316" s="100" t="s">
        <v>604</v>
      </c>
      <c r="L316" s="113">
        <f>"You must register -- Registration Information:  https://www.volpe.dot.gov/events/how-to-attend"</f>
        <v>0</v>
      </c>
      <c r="M316" s="262">
        <f>"Series:  &amp;ldqo;Our New Mobility Future&amp;rdqo; Thought Leadership Series:  https://www.volpe.dot.gov/events/our-new-mobility-future"</f>
        <v>0</v>
      </c>
      <c r="N316" s="278"/>
      <c r="O316" s="104" t="s">
        <v>605</v>
      </c>
      <c r="P316" s="95" t="s">
        <v>606</v>
      </c>
      <c r="Q316" s="297" t="s">
        <v>607</v>
      </c>
      <c r="R316" s="106" t="s">
        <v>55</v>
      </c>
      <c r="S316" s="11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</row>
    <row r="317" spans="1:64" s="91" customFormat="1" ht="50.25" customHeight="1">
      <c r="A317" s="303"/>
      <c r="B317" s="93"/>
      <c r="C317" s="186"/>
      <c r="D317" s="197"/>
      <c r="E317" s="109"/>
      <c r="F317" s="197"/>
      <c r="G317" s="276"/>
      <c r="H317" s="277"/>
      <c r="I317" s="98"/>
      <c r="J317" s="268"/>
      <c r="K317" s="100"/>
      <c r="L317" s="113">
        <f>"Free reservation page: https://volpe-events.webex.com/mw3300/mywebex/default.do?siteurl=volpe-events"</f>
        <v>0</v>
      </c>
      <c r="M317" s="262"/>
      <c r="N317" s="278"/>
      <c r="O317" s="183" t="s">
        <v>608</v>
      </c>
      <c r="P317" s="279">
        <f>"https://www.volpe.dot.gov/upcoming-events"</f>
        <v>0</v>
      </c>
      <c r="Q317" s="297"/>
      <c r="R317" s="106"/>
      <c r="S317" s="11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</row>
    <row r="318" spans="1:64" s="91" customFormat="1" ht="54.75" customHeight="1">
      <c r="A318" s="92" t="s">
        <v>1095</v>
      </c>
      <c r="B318" s="93" t="s">
        <v>1096</v>
      </c>
      <c r="C318" s="94">
        <f>"https://tac-its.ca/"</f>
        <v>0</v>
      </c>
      <c r="D318" s="95" t="s">
        <v>1097</v>
      </c>
      <c r="E318" s="109" t="s">
        <v>1098</v>
      </c>
      <c r="F318" s="95" t="s">
        <v>1099</v>
      </c>
      <c r="G318" s="230" t="s">
        <v>1100</v>
      </c>
      <c r="H318" s="188"/>
      <c r="I318" s="98"/>
      <c r="J318" s="268"/>
      <c r="K318" s="100">
        <f>"https://tac-its.ca/contact"</f>
        <v>0</v>
      </c>
      <c r="L318" s="113"/>
      <c r="M318" s="102"/>
      <c r="N318" s="278"/>
      <c r="O318" s="104" t="s">
        <v>749</v>
      </c>
      <c r="P318" s="95">
        <f>"https://www.itscanada.ca/events/event-list.html"</f>
        <v>0</v>
      </c>
      <c r="Q318" s="105" t="s">
        <v>72</v>
      </c>
      <c r="R318" s="115" t="s">
        <v>73</v>
      </c>
      <c r="S318" s="11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</row>
    <row r="319" spans="1:64" s="91" customFormat="1" ht="27" customHeight="1">
      <c r="A319" s="303" t="s">
        <v>1101</v>
      </c>
      <c r="B319" s="93" t="s">
        <v>1102</v>
      </c>
      <c r="C319" s="218">
        <f>"https://icoet.net/"</f>
        <v>0</v>
      </c>
      <c r="D319" s="197" t="s">
        <v>1103</v>
      </c>
      <c r="E319" s="253" t="s">
        <v>1104</v>
      </c>
      <c r="F319" s="197" t="s">
        <v>1105</v>
      </c>
      <c r="G319" s="295" t="s">
        <v>1106</v>
      </c>
      <c r="H319" s="145"/>
      <c r="I319" s="119" t="s">
        <v>1107</v>
      </c>
      <c r="J319" s="268" t="s">
        <v>1108</v>
      </c>
      <c r="K319" s="357">
        <f>"mailto:fmshilling@ucdavis.edu"</f>
        <v>0</v>
      </c>
      <c r="L319" s="113">
        <f>"https://icoet.net/node/9"</f>
        <v>0</v>
      </c>
      <c r="M319" s="358"/>
      <c r="N319" s="345" t="s">
        <v>1109</v>
      </c>
      <c r="O319" s="265" t="s">
        <v>71</v>
      </c>
      <c r="P319" s="197" t="s">
        <v>267</v>
      </c>
      <c r="Q319" s="266" t="s">
        <v>72</v>
      </c>
      <c r="R319" s="267" t="s">
        <v>73</v>
      </c>
      <c r="S319" s="11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</row>
    <row r="320" spans="1:64" ht="84" customHeight="1">
      <c r="A320" s="303"/>
      <c r="B320" s="93"/>
      <c r="C320" s="319">
        <f>"http://www.icoet.net/ICOET_2019/index.asp"</f>
        <v>0</v>
      </c>
      <c r="D320" s="197"/>
      <c r="E320" s="197"/>
      <c r="F320" s="197"/>
      <c r="G320" s="295"/>
      <c r="H320" s="145"/>
      <c r="I320" s="119" t="s">
        <v>1110</v>
      </c>
      <c r="J320" s="119"/>
      <c r="K320" s="357">
        <f>"https://icoet.net/node/add/contest"</f>
        <v>0</v>
      </c>
      <c r="L320" s="231">
        <f>"Legacy and Stewardship Awards:  https://icoet.net/node/102"</f>
        <v>0</v>
      </c>
      <c r="M320" s="299">
        <f>"Nominations:  https://docs.google.com/forms/d/e/1FAIpQLSctPM9TfLw1cxZwhl0C9m9U4nmDoNV_h7VhL3jVuOLShX5P5g/viewform"</f>
        <v>0</v>
      </c>
      <c r="N320" s="213" t="s">
        <v>1111</v>
      </c>
      <c r="O320" s="265"/>
      <c r="P320" s="197"/>
      <c r="Q320" s="266"/>
      <c r="R320" s="267"/>
      <c r="S320" s="11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</row>
    <row r="321" spans="1:64" s="91" customFormat="1" ht="42.75" customHeight="1">
      <c r="A321" s="92" t="s">
        <v>1112</v>
      </c>
      <c r="B321" s="93" t="s">
        <v>1113</v>
      </c>
      <c r="C321" s="186">
        <f>"http://www.ieeevtc.org/vtc2019fall/"</f>
        <v>0</v>
      </c>
      <c r="D321" s="95" t="s">
        <v>1114</v>
      </c>
      <c r="E321" s="109" t="s">
        <v>1098</v>
      </c>
      <c r="F321" s="95" t="s">
        <v>403</v>
      </c>
      <c r="G321" s="96" t="s">
        <v>1115</v>
      </c>
      <c r="H321" s="145">
        <f>"Diversity Workshop:    https://www.cn.ece.uvic.ca/wkshop_9/"</f>
        <v>0</v>
      </c>
      <c r="I321" s="359" t="s">
        <v>1116</v>
      </c>
      <c r="J321" s="360"/>
      <c r="K321" s="100">
        <f>"http://www.ieeevtc.org/vtc2019fall/committees.php"</f>
        <v>0</v>
      </c>
      <c r="L321" s="113">
        <f>"http://www.ieeevtc.org/vtc2019fall/cfp.php"</f>
        <v>0</v>
      </c>
      <c r="M321" s="358">
        <f>"Explanations of tracks:  https://vtc2019fall.trackchair.com/"</f>
        <v>0</v>
      </c>
      <c r="N321" s="345">
        <f>"5-page paper only:  2019/04/04 (extended from 02/25 &amp; 03/25"</f>
        <v>0</v>
      </c>
      <c r="O321" s="265" t="s">
        <v>1117</v>
      </c>
      <c r="P321" s="95" t="s">
        <v>407</v>
      </c>
      <c r="Q321" s="266" t="s">
        <v>72</v>
      </c>
      <c r="R321" s="267" t="s">
        <v>1118</v>
      </c>
      <c r="S321" s="11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</row>
    <row r="322" spans="1:64" s="91" customFormat="1" ht="78" customHeight="1">
      <c r="A322" s="92"/>
      <c r="B322" s="93"/>
      <c r="C322" s="186"/>
      <c r="D322" s="95"/>
      <c r="E322" s="109"/>
      <c r="F322" s="95"/>
      <c r="G322" s="96"/>
      <c r="H322" s="145"/>
      <c r="I322" s="359"/>
      <c r="J322" s="360"/>
      <c r="K322" s="100"/>
      <c r="L322" s="113" t="s">
        <v>1119</v>
      </c>
      <c r="M322" s="102">
        <f>"http://www.ieeevtc.org/vtc2019fall/cfp-rr.php"</f>
        <v>0</v>
      </c>
      <c r="N322" s="274" t="s">
        <v>1120</v>
      </c>
      <c r="O322" s="265"/>
      <c r="P322" s="95"/>
      <c r="Q322" s="266"/>
      <c r="R322" s="267"/>
      <c r="S322" s="11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</row>
    <row r="323" spans="1:64" s="91" customFormat="1" ht="66.75" customHeight="1">
      <c r="A323" s="92"/>
      <c r="B323" s="93"/>
      <c r="C323" s="186"/>
      <c r="D323" s="95"/>
      <c r="E323" s="109"/>
      <c r="F323" s="95"/>
      <c r="G323" s="96"/>
      <c r="H323" s="145">
        <f>"CatchPhrase:  Enhancing Diversity in the Engineering World: Experiences, Views, and Suggestions"</f>
        <v>0</v>
      </c>
      <c r="I323" s="119" t="s">
        <v>1121</v>
      </c>
      <c r="J323" s="99"/>
      <c r="K323" s="357">
        <f>"mailto:vtc2019fall_workshops@ieeevtc.org"</f>
        <v>0</v>
      </c>
      <c r="L323" s="113" t="s">
        <v>1122</v>
      </c>
      <c r="M323" s="358">
        <f>"mailto:vtc2019fall_workshops@ieeevtc.org?subject=VTC2019-Fall Workshop Proposal: &lt;your-workshop-title&gt;"</f>
        <v>0</v>
      </c>
      <c r="N323" s="345">
        <f>"up to 6-page proposals:  2019/03/25 (extended from 02/25)"</f>
        <v>0</v>
      </c>
      <c r="O323" s="265"/>
      <c r="P323" s="95"/>
      <c r="Q323" s="266"/>
      <c r="R323" s="267"/>
      <c r="S323" s="11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</row>
    <row r="324" spans="1:64" s="91" customFormat="1" ht="52.5" customHeight="1">
      <c r="A324" s="92"/>
      <c r="B324" s="93"/>
      <c r="C324" s="186"/>
      <c r="D324" s="95"/>
      <c r="E324" s="109"/>
      <c r="F324" s="95"/>
      <c r="G324" s="96"/>
      <c r="H324" s="145">
        <f>"NSF Travel Grants for US-based Graduate and Undergraduate Students:  https://mailchi.mp/b608e6f6f550/diversitytravelgrant?e=fc15732a75"</f>
        <v>0</v>
      </c>
      <c r="I324" s="119"/>
      <c r="J324" s="99"/>
      <c r="K324" s="357"/>
      <c r="L324" s="113" t="s">
        <v>1123</v>
      </c>
      <c r="M324" s="123" t="s">
        <v>1124</v>
      </c>
      <c r="N324" s="345" t="s">
        <v>1125</v>
      </c>
      <c r="O324" s="265"/>
      <c r="P324" s="95"/>
      <c r="Q324" s="266"/>
      <c r="R324" s="267"/>
      <c r="S324" s="11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</row>
    <row r="325" spans="1:64" s="91" customFormat="1" ht="66" customHeight="1">
      <c r="A325" s="92"/>
      <c r="B325" s="93"/>
      <c r="C325" s="186"/>
      <c r="D325" s="95"/>
      <c r="E325" s="109"/>
      <c r="F325" s="95"/>
      <c r="G325" s="96"/>
      <c r="H325" s="145"/>
      <c r="I325" s="119"/>
      <c r="J325" s="99"/>
      <c r="K325" s="357"/>
      <c r="L325" s="113" t="s">
        <v>1126</v>
      </c>
      <c r="M325" s="102">
        <f>"mailto:vtc2019fall_tutorials@ieeevtc.org?subject=VTC2019-Fall Tutorial Proposal: Brief description"</f>
        <v>0</v>
      </c>
      <c r="N325" s="345" t="s">
        <v>1127</v>
      </c>
      <c r="O325" s="265"/>
      <c r="P325" s="95"/>
      <c r="Q325" s="266"/>
      <c r="R325" s="267"/>
      <c r="S325" s="11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</row>
    <row r="326" spans="1:64" ht="84.75" customHeight="1">
      <c r="A326" s="92" t="s">
        <v>1128</v>
      </c>
      <c r="B326" s="93"/>
      <c r="C326" s="94">
        <f>"http://ieee-cavs.edu.umh.es/"</f>
        <v>0</v>
      </c>
      <c r="D326" s="95"/>
      <c r="E326" s="109" t="s">
        <v>1129</v>
      </c>
      <c r="F326" s="95" t="s">
        <v>1130</v>
      </c>
      <c r="G326" s="96" t="s">
        <v>1131</v>
      </c>
      <c r="H326" s="97"/>
      <c r="I326" s="119"/>
      <c r="J326" s="99"/>
      <c r="K326" s="357"/>
      <c r="L326" s="113">
        <f>"http://ieee-cavs.edu.umh.es/submission/"</f>
        <v>0</v>
      </c>
      <c r="M326" s="324">
        <f>"https://vtc2019f-rr-wks.trackchair.com/track/1764"</f>
        <v>0</v>
      </c>
      <c r="N326" s="345">
        <f>"Full Papers due:  2019/05/20 extended from 05/10 and 04/15"</f>
        <v>0</v>
      </c>
      <c r="O326" s="265"/>
      <c r="P326" s="95"/>
      <c r="Q326" s="266"/>
      <c r="R326" s="267"/>
      <c r="S326" s="11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</row>
    <row r="327" spans="1:64" s="91" customFormat="1" ht="63.75" customHeight="1">
      <c r="A327" s="92" t="s">
        <v>416</v>
      </c>
      <c r="B327" s="93" t="s">
        <v>1132</v>
      </c>
      <c r="C327" s="94">
        <f>"https://www.sae.org/learn/content/c1504/"</f>
        <v>0</v>
      </c>
      <c r="D327" s="95" t="s">
        <v>76</v>
      </c>
      <c r="E327" s="109" t="s">
        <v>1133</v>
      </c>
      <c r="F327" s="95" t="s">
        <v>141</v>
      </c>
      <c r="G327" s="96" t="s">
        <v>419</v>
      </c>
      <c r="H327" s="97"/>
      <c r="I327" s="98"/>
      <c r="J327" s="99"/>
      <c r="K327" s="100"/>
      <c r="L327" s="101" t="s">
        <v>420</v>
      </c>
      <c r="M327" s="123" t="s">
        <v>421</v>
      </c>
      <c r="N327" s="345">
        <f>"Instructor: Dr. Mark Quarto"</f>
        <v>0</v>
      </c>
      <c r="O327" s="104" t="s">
        <v>83</v>
      </c>
      <c r="P327" s="95">
        <f>"https://www.sae.org/learn/professional-development"</f>
        <v>0</v>
      </c>
      <c r="Q327" s="105" t="s">
        <v>72</v>
      </c>
      <c r="R327" s="115" t="s">
        <v>73</v>
      </c>
      <c r="S327" s="11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</row>
    <row r="328" spans="1:64" s="91" customFormat="1" ht="28.5" customHeight="1">
      <c r="A328" s="92" t="s">
        <v>1134</v>
      </c>
      <c r="B328" s="93" t="s">
        <v>1135</v>
      </c>
      <c r="C328" s="186">
        <f>"https://event.webcasts.com/starthere.jsp?ei=1257666&amp;tp_key=8f1bc3faf0"</f>
        <v>0</v>
      </c>
      <c r="D328" s="95"/>
      <c r="E328" s="109" t="s">
        <v>1136</v>
      </c>
      <c r="F328" s="95" t="s">
        <v>1137</v>
      </c>
      <c r="G328" s="295">
        <f>"hellip; AVs that can deal with all possible situations in a safe and responsible way &amp;hellip;"</f>
        <v>0</v>
      </c>
      <c r="H328" s="152" t="s">
        <v>1138</v>
      </c>
      <c r="I328" s="98"/>
      <c r="J328" s="99"/>
      <c r="K328" s="100"/>
      <c r="L328" s="101"/>
      <c r="M328" s="122"/>
      <c r="N328" s="274"/>
      <c r="O328" s="149" t="s">
        <v>131</v>
      </c>
      <c r="P328" s="150">
        <f>"https://www.sae.org/webcasts"</f>
        <v>0</v>
      </c>
      <c r="Q328" s="361" t="s">
        <v>72</v>
      </c>
      <c r="R328" s="332" t="s">
        <v>73</v>
      </c>
      <c r="S328" s="11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</row>
    <row r="329" spans="1:64" s="91" customFormat="1" ht="27.75" customHeight="1">
      <c r="A329" s="92"/>
      <c r="B329" s="93"/>
      <c r="C329" s="186"/>
      <c r="D329" s="95"/>
      <c r="E329" s="95"/>
      <c r="F329" s="95"/>
      <c r="G329" s="295"/>
      <c r="H329" s="152" t="s">
        <v>1139</v>
      </c>
      <c r="I329" s="98"/>
      <c r="J329" s="99"/>
      <c r="K329" s="100"/>
      <c r="L329" s="101"/>
      <c r="M329" s="122"/>
      <c r="N329" s="274"/>
      <c r="O329" s="149"/>
      <c r="P329" s="150"/>
      <c r="Q329" s="361"/>
      <c r="R329" s="332"/>
      <c r="S329" s="11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</row>
    <row r="330" spans="1:64" s="91" customFormat="1" ht="20.25" customHeight="1">
      <c r="A330" s="92"/>
      <c r="B330" s="93"/>
      <c r="C330" s="186"/>
      <c r="D330" s="95"/>
      <c r="E330" s="95"/>
      <c r="F330" s="95"/>
      <c r="G330" s="295"/>
      <c r="H330" s="97" t="s">
        <v>1140</v>
      </c>
      <c r="I330" s="98"/>
      <c r="J330" s="99"/>
      <c r="K330" s="100"/>
      <c r="L330" s="101"/>
      <c r="M330" s="122"/>
      <c r="N330" s="274"/>
      <c r="O330" s="149"/>
      <c r="P330" s="150"/>
      <c r="Q330" s="361"/>
      <c r="R330" s="332"/>
      <c r="S330" s="11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</row>
    <row r="331" spans="1:64" s="91" customFormat="1" ht="45" customHeight="1">
      <c r="A331" s="92" t="s">
        <v>1141</v>
      </c>
      <c r="B331" s="93" t="s">
        <v>1142</v>
      </c>
      <c r="C331" s="186">
        <f>"https://event.webcasts.com/starthere.jsp?ei=1255653&amp;tp_key=cfc778d717"</f>
        <v>0</v>
      </c>
      <c r="D331" s="95"/>
      <c r="E331" s="109" t="s">
        <v>1143</v>
      </c>
      <c r="F331" s="95" t="s">
        <v>1144</v>
      </c>
      <c r="G331" s="295">
        <f>"hellip; customers, suppliers, sub suppliers must work closely together &amp;hellip;"</f>
        <v>0</v>
      </c>
      <c r="H331" s="152" t="s">
        <v>1145</v>
      </c>
      <c r="I331" s="98"/>
      <c r="J331" s="99"/>
      <c r="K331" s="100"/>
      <c r="L331" s="261"/>
      <c r="M331" s="122"/>
      <c r="N331" s="274"/>
      <c r="O331" s="149" t="s">
        <v>131</v>
      </c>
      <c r="P331" s="150">
        <f>"https://www.sae.org/webcasts"</f>
        <v>0</v>
      </c>
      <c r="Q331" s="361" t="s">
        <v>72</v>
      </c>
      <c r="R331" s="332" t="s">
        <v>73</v>
      </c>
      <c r="S331" s="11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</row>
    <row r="332" spans="1:64" s="91" customFormat="1" ht="24.75" customHeight="1">
      <c r="A332" s="92"/>
      <c r="B332" s="93"/>
      <c r="C332" s="186"/>
      <c r="D332" s="95"/>
      <c r="E332" s="95"/>
      <c r="F332" s="95"/>
      <c r="G332" s="295"/>
      <c r="H332" s="97" t="s">
        <v>1140</v>
      </c>
      <c r="I332" s="98"/>
      <c r="J332" s="99"/>
      <c r="K332" s="100"/>
      <c r="L332" s="261"/>
      <c r="M332" s="122"/>
      <c r="N332" s="274"/>
      <c r="O332" s="149"/>
      <c r="P332" s="150"/>
      <c r="Q332" s="361"/>
      <c r="R332" s="332"/>
      <c r="S332" s="11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</row>
    <row r="333" spans="1:64" s="91" customFormat="1" ht="60.75" customHeight="1">
      <c r="A333" s="331" t="s">
        <v>1146</v>
      </c>
      <c r="B333" s="93" t="s">
        <v>1147</v>
      </c>
      <c r="C333" s="94">
        <f>"https://register.gotowebinar.com/register/4305250328485793539"</f>
        <v>0</v>
      </c>
      <c r="D333" s="197"/>
      <c r="E333" s="109" t="s">
        <v>1148</v>
      </c>
      <c r="F333" s="197" t="s">
        <v>1149</v>
      </c>
      <c r="G333" s="96">
        <f>"Battery Intelligence System (BIS) [is] needed to enable the leap in battery yield, energy density, and lifetime the industry is calling for."</f>
        <v>0</v>
      </c>
      <c r="H333" s="277" t="s">
        <v>1150</v>
      </c>
      <c r="I333" s="98"/>
      <c r="J333" s="268"/>
      <c r="K333" s="100"/>
      <c r="L333" s="113"/>
      <c r="M333" s="102"/>
      <c r="N333" s="278"/>
      <c r="O333" s="183" t="s">
        <v>99</v>
      </c>
      <c r="P333" s="279" t="s">
        <v>829</v>
      </c>
      <c r="Q333" s="297" t="s">
        <v>72</v>
      </c>
      <c r="R333" s="106" t="s">
        <v>73</v>
      </c>
      <c r="S333" s="11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</row>
    <row r="334" spans="1:19" s="91" customFormat="1" ht="51.75" customHeight="1">
      <c r="A334" s="92" t="s">
        <v>1151</v>
      </c>
      <c r="B334" s="93" t="s">
        <v>1152</v>
      </c>
      <c r="C334" s="186">
        <f>"https://event.webcasts.com/starthere.jsp?ei=1253906&amp;tp_key=1ca12ec32e"</f>
        <v>0</v>
      </c>
      <c r="D334" s="95"/>
      <c r="E334" s="109" t="s">
        <v>1153</v>
      </c>
      <c r="F334" s="95" t="s">
        <v>1154</v>
      </c>
      <c r="G334" s="295">
        <f>"&amp;hellip; a robust system design is needed to meet the requirements for automated driving."</f>
        <v>0</v>
      </c>
      <c r="H334" s="152" t="s">
        <v>1155</v>
      </c>
      <c r="I334" s="98"/>
      <c r="J334" s="99"/>
      <c r="K334" s="100"/>
      <c r="L334" s="261"/>
      <c r="M334" s="122"/>
      <c r="N334" s="100"/>
      <c r="O334" s="149" t="s">
        <v>131</v>
      </c>
      <c r="P334" s="150">
        <f>"https://www.sae.org/webcasts"</f>
        <v>0</v>
      </c>
      <c r="Q334" s="361" t="s">
        <v>72</v>
      </c>
      <c r="R334" s="332" t="s">
        <v>73</v>
      </c>
      <c r="S334" s="117"/>
    </row>
    <row r="335" spans="1:19" s="91" customFormat="1" ht="22.5" customHeight="1">
      <c r="A335" s="92"/>
      <c r="B335" s="93"/>
      <c r="C335" s="186"/>
      <c r="D335" s="95"/>
      <c r="E335" s="95"/>
      <c r="F335" s="95"/>
      <c r="G335" s="295"/>
      <c r="H335" s="97" t="s">
        <v>1140</v>
      </c>
      <c r="I335" s="98"/>
      <c r="J335" s="99"/>
      <c r="K335" s="100"/>
      <c r="L335" s="261"/>
      <c r="M335" s="122"/>
      <c r="N335" s="100"/>
      <c r="O335" s="149"/>
      <c r="P335" s="150"/>
      <c r="Q335" s="361"/>
      <c r="R335" s="332"/>
      <c r="S335" s="117"/>
    </row>
    <row r="336" spans="1:19" s="91" customFormat="1" ht="43.5" customHeight="1">
      <c r="A336" s="92" t="s">
        <v>1156</v>
      </c>
      <c r="B336" s="93" t="s">
        <v>1157</v>
      </c>
      <c r="C336" s="186">
        <f>"https://event.webcasts.com/starthere.jsp?ei=1257386&amp;tp_key=b01bb8c907"</f>
        <v>0</v>
      </c>
      <c r="D336" s="95"/>
      <c r="E336" s="109" t="s">
        <v>1158</v>
      </c>
      <c r="F336" s="95" t="s">
        <v>1159</v>
      </c>
      <c r="G336" s="295">
        <f>"The sensors found on self-driving vehicles and advanced driving assistance systems are the eyes that see in place of the driver, so exceptional performance in every situation is absolutely critical."</f>
        <v>0</v>
      </c>
      <c r="H336" s="152" t="s">
        <v>1160</v>
      </c>
      <c r="I336" s="98"/>
      <c r="J336" s="99"/>
      <c r="K336" s="100"/>
      <c r="L336" s="101"/>
      <c r="M336" s="122"/>
      <c r="N336" s="100"/>
      <c r="O336" s="149" t="s">
        <v>131</v>
      </c>
      <c r="P336" s="150">
        <f>"https://www.sae.org/webcasts"</f>
        <v>0</v>
      </c>
      <c r="Q336" s="361" t="s">
        <v>72</v>
      </c>
      <c r="R336" s="332" t="s">
        <v>73</v>
      </c>
      <c r="S336" s="117"/>
    </row>
    <row r="337" spans="1:19" s="91" customFormat="1" ht="51" customHeight="1">
      <c r="A337" s="92"/>
      <c r="B337" s="93"/>
      <c r="C337" s="186"/>
      <c r="D337" s="95"/>
      <c r="E337" s="109"/>
      <c r="F337" s="95"/>
      <c r="G337" s="295"/>
      <c r="H337" s="277" t="s">
        <v>1161</v>
      </c>
      <c r="I337" s="98"/>
      <c r="J337" s="99"/>
      <c r="K337" s="100"/>
      <c r="L337" s="101"/>
      <c r="M337" s="122"/>
      <c r="N337" s="100"/>
      <c r="O337" s="149"/>
      <c r="P337" s="150"/>
      <c r="Q337" s="361"/>
      <c r="R337" s="332"/>
      <c r="S337" s="117"/>
    </row>
    <row r="338" spans="1:19" s="91" customFormat="1" ht="39" customHeight="1">
      <c r="A338" s="92"/>
      <c r="B338" s="93"/>
      <c r="C338" s="186"/>
      <c r="D338" s="95"/>
      <c r="E338" s="109"/>
      <c r="F338" s="95"/>
      <c r="G338" s="295"/>
      <c r="H338" s="277" t="s">
        <v>191</v>
      </c>
      <c r="I338" s="98"/>
      <c r="J338" s="99"/>
      <c r="K338" s="100"/>
      <c r="L338" s="101"/>
      <c r="M338" s="122"/>
      <c r="N338" s="100"/>
      <c r="O338" s="149"/>
      <c r="P338" s="150"/>
      <c r="Q338" s="361"/>
      <c r="R338" s="332"/>
      <c r="S338" s="117"/>
    </row>
    <row r="339" spans="1:19" s="91" customFormat="1" ht="18" customHeight="1">
      <c r="A339" s="92"/>
      <c r="B339" s="93"/>
      <c r="C339" s="186"/>
      <c r="D339" s="95"/>
      <c r="E339" s="109"/>
      <c r="F339" s="95"/>
      <c r="G339" s="295"/>
      <c r="H339" s="188" t="s">
        <v>1162</v>
      </c>
      <c r="I339" s="98"/>
      <c r="J339" s="99"/>
      <c r="K339" s="100"/>
      <c r="L339" s="101"/>
      <c r="M339" s="122"/>
      <c r="N339" s="100"/>
      <c r="O339" s="149"/>
      <c r="P339" s="150"/>
      <c r="Q339" s="361"/>
      <c r="R339" s="332"/>
      <c r="S339" s="117"/>
    </row>
    <row r="340" spans="1:64" s="91" customFormat="1" ht="50.25" customHeight="1">
      <c r="A340" s="303" t="s">
        <v>1163</v>
      </c>
      <c r="B340" s="93" t="s">
        <v>1164</v>
      </c>
      <c r="C340" s="186">
        <f>"https://www.volpe.dot.gov/event/randell-iwasaki-new-mobility"</f>
        <v>0</v>
      </c>
      <c r="D340" s="197" t="s">
        <v>598</v>
      </c>
      <c r="E340" s="109" t="s">
        <v>1165</v>
      </c>
      <c r="F340" s="197" t="s">
        <v>1166</v>
      </c>
      <c r="G340" s="276"/>
      <c r="H340" s="277" t="s">
        <v>1167</v>
      </c>
      <c r="I340" s="98" t="s">
        <v>602</v>
      </c>
      <c r="J340" s="268" t="s">
        <v>603</v>
      </c>
      <c r="K340" s="100" t="s">
        <v>604</v>
      </c>
      <c r="L340" s="113">
        <f>"You must register -- Registration Information:  https://www.volpe.dot.gov/events/how-to-attend"</f>
        <v>0</v>
      </c>
      <c r="M340" s="262" t="s">
        <v>1168</v>
      </c>
      <c r="N340" s="278"/>
      <c r="O340" s="104" t="s">
        <v>605</v>
      </c>
      <c r="P340" s="95" t="s">
        <v>606</v>
      </c>
      <c r="Q340" s="297" t="s">
        <v>607</v>
      </c>
      <c r="R340" s="106" t="s">
        <v>55</v>
      </c>
      <c r="S340" s="11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</row>
    <row r="341" spans="1:64" s="91" customFormat="1" ht="50.25" customHeight="1">
      <c r="A341" s="303"/>
      <c r="B341" s="93"/>
      <c r="C341" s="186"/>
      <c r="D341" s="197"/>
      <c r="E341" s="109"/>
      <c r="F341" s="197"/>
      <c r="G341" s="276"/>
      <c r="H341" s="277"/>
      <c r="I341" s="98"/>
      <c r="J341" s="268"/>
      <c r="K341" s="100"/>
      <c r="L341" s="113">
        <f>"Free reservation page: https://volpe-events.webex.com/mw3300/mywebex/default.do?siteurl=volpe-events"</f>
        <v>0</v>
      </c>
      <c r="M341" s="262"/>
      <c r="N341" s="278"/>
      <c r="O341" s="183" t="s">
        <v>608</v>
      </c>
      <c r="P341" s="279">
        <f>"https://www.volpe.dot.gov/upcoming-events"</f>
        <v>0</v>
      </c>
      <c r="Q341" s="297"/>
      <c r="R341" s="106"/>
      <c r="S341" s="11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</row>
    <row r="342" spans="1:64" s="91" customFormat="1" ht="58.5" customHeight="1">
      <c r="A342" s="92" t="s">
        <v>137</v>
      </c>
      <c r="B342" s="93" t="s">
        <v>1169</v>
      </c>
      <c r="C342" s="94">
        <f>"https://www.sae.org/learn/content/c1732/"</f>
        <v>0</v>
      </c>
      <c r="D342" s="95" t="s">
        <v>76</v>
      </c>
      <c r="E342" s="109" t="s">
        <v>1170</v>
      </c>
      <c r="F342" s="95" t="s">
        <v>141</v>
      </c>
      <c r="G342" s="96" t="s">
        <v>142</v>
      </c>
      <c r="H342" s="152"/>
      <c r="I342" s="98"/>
      <c r="J342" s="99"/>
      <c r="K342" s="100"/>
      <c r="L342" s="101" t="s">
        <v>322</v>
      </c>
      <c r="M342" s="123" t="s">
        <v>144</v>
      </c>
      <c r="N342" s="345">
        <f>"Instructor: Dr. Mark Quarto"</f>
        <v>0</v>
      </c>
      <c r="O342" s="104" t="s">
        <v>83</v>
      </c>
      <c r="P342" s="95">
        <f>"https://www.sae.org/learn/professional-development"</f>
        <v>0</v>
      </c>
      <c r="Q342" s="105" t="s">
        <v>72</v>
      </c>
      <c r="R342" s="115" t="s">
        <v>73</v>
      </c>
      <c r="S342" s="11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</row>
    <row r="343" spans="1:64" s="91" customFormat="1" ht="99" customHeight="1">
      <c r="A343" s="92" t="s">
        <v>1171</v>
      </c>
      <c r="B343" s="93" t="s">
        <v>1172</v>
      </c>
      <c r="C343" s="94">
        <f>"https://teslasciencecenter.z2systems.com/np/clients/teslasciencecenter/viewOnlineEmail.jsp?emailId=af336d5ebd6b40d32ae029ea7011dfc2am1411261af3"</f>
        <v>0</v>
      </c>
      <c r="D343" s="95" t="s">
        <v>1173</v>
      </c>
      <c r="E343" s="109" t="s">
        <v>1174</v>
      </c>
      <c r="F343" s="95" t="s">
        <v>1175</v>
      </c>
      <c r="G343" s="96" t="s">
        <v>1176</v>
      </c>
      <c r="H343" s="152"/>
      <c r="I343" s="98"/>
      <c r="J343" s="99"/>
      <c r="K343" s="100"/>
      <c r="L343" s="101" t="s">
        <v>1177</v>
      </c>
      <c r="M343" s="123"/>
      <c r="N343" s="345"/>
      <c r="O343" s="104" t="s">
        <v>209</v>
      </c>
      <c r="P343" s="95" t="s">
        <v>642</v>
      </c>
      <c r="Q343" s="105" t="s">
        <v>108</v>
      </c>
      <c r="R343" s="106" t="s">
        <v>109</v>
      </c>
      <c r="S343" s="11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</row>
    <row r="344" spans="1:64" s="91" customFormat="1" ht="66.75" customHeight="1">
      <c r="A344" s="92" t="s">
        <v>1178</v>
      </c>
      <c r="B344" s="93" t="s">
        <v>1179</v>
      </c>
      <c r="C344" s="94">
        <f>"https://erticonetwork.com/learn-about-c-its-training-with-this-webinar-on-30-september/"</f>
        <v>0</v>
      </c>
      <c r="D344" s="95" t="s">
        <v>1180</v>
      </c>
      <c r="E344" s="109" t="s">
        <v>1181</v>
      </c>
      <c r="F344" s="95" t="s">
        <v>1182</v>
      </c>
      <c r="G344" s="304">
        <f>"&amp;hellip; introductory knowledge on C-ITS"</f>
        <v>0</v>
      </c>
      <c r="H344" s="97"/>
      <c r="I344" s="98"/>
      <c r="J344" s="99"/>
      <c r="K344" s="100"/>
      <c r="L344" s="101">
        <f>"Registration:  https://attendee.gotowebinar.com/register/6.24922128935717E+017"</f>
        <v>0</v>
      </c>
      <c r="M344" s="122"/>
      <c r="N344" s="274"/>
      <c r="O344" s="104" t="s">
        <v>1183</v>
      </c>
      <c r="P344" s="95">
        <f>"https://ertico.com/"</f>
        <v>0</v>
      </c>
      <c r="Q344" s="105" t="s">
        <v>72</v>
      </c>
      <c r="R344" s="115" t="s">
        <v>73</v>
      </c>
      <c r="S344" s="11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</row>
    <row r="345" spans="1:64" s="91" customFormat="1" ht="39.75" customHeight="1">
      <c r="A345" s="92" t="s">
        <v>1184</v>
      </c>
      <c r="B345" s="93" t="s">
        <v>1185</v>
      </c>
      <c r="C345" s="94">
        <f>"http://faculty.uml.edu/thanuka_wickramarathne/safenets_workshop/"</f>
        <v>0</v>
      </c>
      <c r="D345" s="95" t="s">
        <v>1186</v>
      </c>
      <c r="E345" s="109" t="s">
        <v>1187</v>
      </c>
      <c r="F345" s="95">
        <f>"UMass-Lowell-2.png            144 x 66"</f>
        <v>0</v>
      </c>
      <c r="G345" s="96" t="s">
        <v>1188</v>
      </c>
      <c r="H345" s="152"/>
      <c r="I345" s="98"/>
      <c r="J345" s="99"/>
      <c r="K345" s="100" t="s">
        <v>1189</v>
      </c>
      <c r="L345" s="261">
        <f>"Registration:  https://web.cvent.com/event/db5adf1e-64a1-4153-b074-2b4027f27c21/summary"</f>
        <v>0</v>
      </c>
      <c r="M345" s="122"/>
      <c r="N345" s="274"/>
      <c r="O345" s="104" t="s">
        <v>406</v>
      </c>
      <c r="P345" s="95">
        <f>"https://vtsociety.org/"</f>
        <v>0</v>
      </c>
      <c r="Q345" s="105" t="s">
        <v>72</v>
      </c>
      <c r="R345" s="115" t="s">
        <v>73</v>
      </c>
      <c r="S345" s="11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</row>
    <row r="346" spans="1:64" ht="66.75" customHeight="1">
      <c r="A346" s="92"/>
      <c r="B346" s="93"/>
      <c r="C346" s="94">
        <f>"https://mailchi.mp/20b99cd75e3e/call-for-participation-ieee-safenets-workshop-380637?e=fc15732a75"</f>
        <v>0</v>
      </c>
      <c r="D346" s="95"/>
      <c r="E346" s="95"/>
      <c r="F346" s="157">
        <f>"UMass-Lowell.png   106 x 100"</f>
        <v>0</v>
      </c>
      <c r="G346" s="96"/>
      <c r="H346" s="152"/>
      <c r="I346" s="98"/>
      <c r="J346" s="99"/>
      <c r="K346" s="100"/>
      <c r="L346" s="261"/>
      <c r="M346" s="122"/>
      <c r="N346" s="274"/>
      <c r="O346" s="104"/>
      <c r="P346" s="95"/>
      <c r="Q346" s="105"/>
      <c r="R346" s="115"/>
      <c r="S346" s="11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</row>
    <row r="347" spans="1:64" s="91" customFormat="1" ht="58.5" customHeight="1">
      <c r="A347" s="92" t="s">
        <v>1190</v>
      </c>
      <c r="B347" s="202" t="s">
        <v>1191</v>
      </c>
      <c r="C347" s="202">
        <f>"http://2019.ieeeisse.org/"</f>
        <v>0</v>
      </c>
      <c r="D347" s="202" t="s">
        <v>631</v>
      </c>
      <c r="E347" s="128" t="s">
        <v>1192</v>
      </c>
      <c r="F347" s="202" t="s">
        <v>1193</v>
      </c>
      <c r="G347" s="203" t="s">
        <v>1194</v>
      </c>
      <c r="H347" s="130"/>
      <c r="I347" s="98"/>
      <c r="J347" s="181"/>
      <c r="K347" s="256">
        <f>"Contact form:  https://2019.ieeeisse.org/contact"</f>
        <v>0</v>
      </c>
      <c r="L347" s="101">
        <f>"https://2019.ieeeisse.org/sites/default/files/documents/call-docs/isse2019-cfp_web_01.pdf"</f>
        <v>0</v>
      </c>
      <c r="M347" s="122" t="s">
        <v>1195</v>
      </c>
      <c r="N347" s="122"/>
      <c r="O347" s="104" t="s">
        <v>340</v>
      </c>
      <c r="P347" s="95">
        <f>"https://www.ieeesystemscouncil.org/pages/conferences"</f>
        <v>0</v>
      </c>
      <c r="Q347" s="105" t="s">
        <v>72</v>
      </c>
      <c r="R347" s="115" t="s">
        <v>73</v>
      </c>
      <c r="S347" s="11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</row>
    <row r="348" spans="1:64" s="91" customFormat="1" ht="58.5" customHeight="1">
      <c r="A348" s="125" t="s">
        <v>162</v>
      </c>
      <c r="B348" s="197">
        <f>"CTnext"</f>
        <v>0</v>
      </c>
      <c r="C348" s="197">
        <f>"https://www.eiseverywhere.com/ereg/index.php?eventid=472543&amp;"</f>
        <v>0</v>
      </c>
      <c r="D348" s="197" t="s">
        <v>1196</v>
      </c>
      <c r="E348" s="109" t="s">
        <v>1197</v>
      </c>
      <c r="F348" s="197" t="s">
        <v>165</v>
      </c>
      <c r="G348" s="158" t="s">
        <v>1198</v>
      </c>
      <c r="H348" s="188" t="s">
        <v>167</v>
      </c>
      <c r="I348" s="98" t="s">
        <v>1199</v>
      </c>
      <c r="J348" s="112" t="s">
        <v>1200</v>
      </c>
      <c r="K348" s="100">
        <f>"mailto:johnna.scott@ctnext.com"</f>
        <v>0</v>
      </c>
      <c r="L348" s="261">
        <f>"New Registration: https://www.eiseverywhere.com/ereg/newreg.php?eventid=472543&amp;"</f>
        <v>0</v>
      </c>
      <c r="M348" s="122"/>
      <c r="N348" s="103"/>
      <c r="O348" s="104"/>
      <c r="P348" s="197"/>
      <c r="Q348" s="105" t="s">
        <v>72</v>
      </c>
      <c r="R348" s="115" t="s">
        <v>73</v>
      </c>
      <c r="S348" s="11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</row>
    <row r="349" spans="1:64" s="91" customFormat="1" ht="58.5" customHeight="1">
      <c r="A349" s="125"/>
      <c r="B349" s="197"/>
      <c r="C349" s="197"/>
      <c r="D349" s="197"/>
      <c r="E349" s="109" t="s">
        <v>1201</v>
      </c>
      <c r="F349" s="197"/>
      <c r="G349" s="158"/>
      <c r="H349" s="188"/>
      <c r="I349" s="98"/>
      <c r="J349" s="112"/>
      <c r="K349" s="100"/>
      <c r="L349" s="261"/>
      <c r="M349" s="122"/>
      <c r="N349" s="103"/>
      <c r="O349" s="104"/>
      <c r="P349" s="197"/>
      <c r="Q349" s="105"/>
      <c r="R349" s="115"/>
      <c r="S349" s="11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</row>
    <row r="350" spans="1:19" s="91" customFormat="1" ht="73.5" customHeight="1">
      <c r="A350" s="303" t="s">
        <v>1202</v>
      </c>
      <c r="B350" s="95" t="s">
        <v>1203</v>
      </c>
      <c r="C350" s="186">
        <f>"http://www.evshow.ro/"</f>
        <v>0</v>
      </c>
      <c r="D350" s="95" t="s">
        <v>1204</v>
      </c>
      <c r="E350" s="109" t="s">
        <v>1205</v>
      </c>
      <c r="F350" s="95" t="s">
        <v>1206</v>
      </c>
      <c r="G350" s="295" t="s">
        <v>1207</v>
      </c>
      <c r="H350" s="97"/>
      <c r="I350" s="104"/>
      <c r="J350" s="112"/>
      <c r="K350" s="362">
        <f>"http://www.evshow.ro/contact/ (with map)"</f>
        <v>0</v>
      </c>
      <c r="L350" s="101">
        <f>"Call for abstracts:  http://www.evshow.ro/call-for-papers/"</f>
        <v>0</v>
      </c>
      <c r="M350" s="102">
        <f>"Author&amp;rsquo;s guide:  http://www.evshow.ro/call-for-abstracts/"</f>
        <v>0</v>
      </c>
      <c r="N350" s="274" t="s">
        <v>1208</v>
      </c>
      <c r="O350" s="104" t="s">
        <v>1209</v>
      </c>
      <c r="P350" s="95">
        <f>"http://aver.ro/"</f>
        <v>0</v>
      </c>
      <c r="Q350" s="105" t="s">
        <v>54</v>
      </c>
      <c r="R350" s="115" t="s">
        <v>73</v>
      </c>
      <c r="S350" s="107"/>
    </row>
    <row r="351" spans="1:19" s="91" customFormat="1" ht="43.5" customHeight="1">
      <c r="A351" s="303"/>
      <c r="B351" s="95"/>
      <c r="C351" s="186"/>
      <c r="D351" s="95"/>
      <c r="E351" s="95"/>
      <c r="F351" s="95"/>
      <c r="G351" s="295"/>
      <c r="H351" s="97"/>
      <c r="I351" s="104"/>
      <c r="J351" s="112"/>
      <c r="K351" s="362"/>
      <c r="L351" s="101">
        <f>"Oral Presentations:  http://www.evshow.ro/call-for-papers/ (scroll down)"</f>
        <v>0</v>
      </c>
      <c r="M351" s="102" t="s">
        <v>1210</v>
      </c>
      <c r="N351" s="274" t="s">
        <v>1211</v>
      </c>
      <c r="O351" s="104"/>
      <c r="P351" s="95"/>
      <c r="Q351" s="105"/>
      <c r="R351" s="115"/>
      <c r="S351" s="107"/>
    </row>
    <row r="352" spans="1:19" s="91" customFormat="1" ht="29.25" customHeight="1">
      <c r="A352" s="303"/>
      <c r="B352" s="95"/>
      <c r="C352" s="186"/>
      <c r="D352" s="95"/>
      <c r="E352" s="95"/>
      <c r="F352" s="95"/>
      <c r="G352" s="295"/>
      <c r="H352" s="97"/>
      <c r="I352" s="104"/>
      <c r="J352" s="112"/>
      <c r="K352" s="362"/>
      <c r="L352" s="101">
        <f>"Posters:  http://www.evshow.ro/call-for-papers/ (scroll down)"</f>
        <v>0</v>
      </c>
      <c r="M352" s="102" t="s">
        <v>1212</v>
      </c>
      <c r="N352" s="274" t="s">
        <v>1211</v>
      </c>
      <c r="O352" s="104"/>
      <c r="P352" s="95"/>
      <c r="Q352" s="105"/>
      <c r="R352" s="115"/>
      <c r="S352" s="107"/>
    </row>
    <row r="353" spans="1:64" s="91" customFormat="1" ht="78.75" customHeight="1">
      <c r="A353" s="331" t="s">
        <v>1213</v>
      </c>
      <c r="B353" s="93" t="s">
        <v>1214</v>
      </c>
      <c r="C353" s="94">
        <f>"https://www.eventbrite.com/e/plug-play-sae-international-shaping-the-connected-future-tickets-71403566991"</f>
        <v>0</v>
      </c>
      <c r="D353" s="197" t="s">
        <v>1215</v>
      </c>
      <c r="E353" s="109" t="s">
        <v>1216</v>
      </c>
      <c r="F353" s="197" t="s">
        <v>1217</v>
      </c>
      <c r="G353" s="304" t="s">
        <v>1218</v>
      </c>
      <c r="H353" s="277"/>
      <c r="I353" s="98"/>
      <c r="J353" s="268"/>
      <c r="K353" s="100"/>
      <c r="L353" s="113"/>
      <c r="M353" s="102"/>
      <c r="N353" s="278"/>
      <c r="O353" s="183" t="s">
        <v>53</v>
      </c>
      <c r="P353" s="279" t="s">
        <v>91</v>
      </c>
      <c r="Q353" s="297" t="s">
        <v>54</v>
      </c>
      <c r="R353" s="106" t="s">
        <v>55</v>
      </c>
      <c r="S353" s="11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</row>
    <row r="354" spans="1:64" s="91" customFormat="1" ht="28.5" customHeight="1">
      <c r="A354" s="92" t="s">
        <v>1219</v>
      </c>
      <c r="B354" s="95" t="s">
        <v>1220</v>
      </c>
      <c r="C354" s="95">
        <f>"https://www.act-news.com/webinar/webinar-series-nacfes-run-on-less-technology-day/"</f>
        <v>0</v>
      </c>
      <c r="D354" s="95"/>
      <c r="E354" s="109" t="s">
        <v>1221</v>
      </c>
      <c r="F354" s="95" t="s">
        <v>1222</v>
      </c>
      <c r="G354" s="151" t="s">
        <v>1223</v>
      </c>
      <c r="H354" s="152" t="s">
        <v>1224</v>
      </c>
      <c r="I354" s="119"/>
      <c r="J354" s="112"/>
      <c r="K354" s="357"/>
      <c r="L354" s="101"/>
      <c r="M354" s="122"/>
      <c r="N354" s="278"/>
      <c r="O354" s="265" t="s">
        <v>1225</v>
      </c>
      <c r="P354" s="95">
        <f>"https://www.act-news.com/webinars/"</f>
        <v>0</v>
      </c>
      <c r="Q354" s="266" t="s">
        <v>72</v>
      </c>
      <c r="R354" s="267" t="s">
        <v>73</v>
      </c>
      <c r="S354" s="11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</row>
    <row r="355" spans="1:64" s="91" customFormat="1" ht="36.75" customHeight="1">
      <c r="A355" s="92"/>
      <c r="B355" s="95"/>
      <c r="C355" s="95"/>
      <c r="D355" s="95"/>
      <c r="E355" s="109"/>
      <c r="F355" s="95"/>
      <c r="G355" s="151"/>
      <c r="H355" s="152" t="s">
        <v>1226</v>
      </c>
      <c r="I355" s="119"/>
      <c r="J355" s="112"/>
      <c r="K355" s="357"/>
      <c r="L355" s="101"/>
      <c r="M355" s="122"/>
      <c r="N355" s="278"/>
      <c r="O355" s="265"/>
      <c r="P355" s="95"/>
      <c r="Q355" s="266"/>
      <c r="R355" s="267"/>
      <c r="S355" s="11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</row>
    <row r="356" spans="1:64" s="91" customFormat="1" ht="27.75" customHeight="1">
      <c r="A356" s="92"/>
      <c r="B356" s="95"/>
      <c r="C356" s="95"/>
      <c r="D356" s="95"/>
      <c r="E356" s="109"/>
      <c r="F356" s="95"/>
      <c r="G356" s="151"/>
      <c r="H356" s="152" t="s">
        <v>1227</v>
      </c>
      <c r="I356" s="119"/>
      <c r="J356" s="112"/>
      <c r="K356" s="357"/>
      <c r="L356" s="101"/>
      <c r="M356" s="122"/>
      <c r="N356" s="278"/>
      <c r="O356" s="265"/>
      <c r="P356" s="95"/>
      <c r="Q356" s="266"/>
      <c r="R356" s="267"/>
      <c r="S356" s="11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</row>
    <row r="357" spans="1:64" s="91" customFormat="1" ht="26.25" customHeight="1">
      <c r="A357" s="92"/>
      <c r="B357" s="95"/>
      <c r="C357" s="95"/>
      <c r="D357" s="95"/>
      <c r="E357" s="109"/>
      <c r="F357" s="95"/>
      <c r="G357" s="151"/>
      <c r="H357" s="152" t="s">
        <v>1228</v>
      </c>
      <c r="I357" s="119"/>
      <c r="J357" s="112"/>
      <c r="K357" s="357"/>
      <c r="L357" s="101"/>
      <c r="M357" s="122"/>
      <c r="N357" s="278"/>
      <c r="O357" s="265"/>
      <c r="P357" s="95"/>
      <c r="Q357" s="266"/>
      <c r="R357" s="267"/>
      <c r="S357" s="11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</row>
    <row r="358" spans="1:64" s="91" customFormat="1" ht="54.75" customHeight="1">
      <c r="A358" s="175" t="s">
        <v>1229</v>
      </c>
      <c r="B358" s="184" t="s">
        <v>1230</v>
      </c>
      <c r="C358" s="184">
        <f>"https://events.techconnect.org/DTCFall/"</f>
        <v>0</v>
      </c>
      <c r="D358" s="95" t="s">
        <v>1231</v>
      </c>
      <c r="E358" s="109" t="s">
        <v>1232</v>
      </c>
      <c r="F358" s="95" t="s">
        <v>1233</v>
      </c>
      <c r="G358" s="263" t="s">
        <v>1234</v>
      </c>
      <c r="H358" s="97"/>
      <c r="I358" s="363"/>
      <c r="J358" s="181" t="s">
        <v>1235</v>
      </c>
      <c r="K358" s="364">
        <f>"https://events.techconnect.org/DTCFall/contact.html"</f>
        <v>0</v>
      </c>
      <c r="L358" s="113">
        <f>"Call for Innovations:  https://events.techconnect.org/DTCFall/innovation/"</f>
        <v>0</v>
      </c>
      <c r="M358" s="365">
        <f>"https://events.techconnect.org/DTCFall/partner/innovation/form.html"</f>
        <v>0</v>
      </c>
      <c r="N358" s="366">
        <f>"2019/06/28"</f>
        <v>0</v>
      </c>
      <c r="O358" s="367"/>
      <c r="P358" s="184"/>
      <c r="Q358" s="368"/>
      <c r="R358" s="267" t="s">
        <v>73</v>
      </c>
      <c r="S358" s="11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</row>
    <row r="359" spans="1:64" ht="50.25" customHeight="1">
      <c r="A359" s="175"/>
      <c r="B359" s="184"/>
      <c r="C359" s="184"/>
      <c r="D359" s="95"/>
      <c r="E359" s="109"/>
      <c r="F359" s="95"/>
      <c r="G359" s="263"/>
      <c r="H359" s="97"/>
      <c r="I359" s="363"/>
      <c r="J359" s="181"/>
      <c r="K359" s="364"/>
      <c r="L359" s="201" t="s">
        <v>1236</v>
      </c>
      <c r="M359" s="369">
        <f>"https://events.techconnect.org/DTCFall/partner/panel/form.html"</f>
        <v>0</v>
      </c>
      <c r="N359" s="370">
        <f>"2018/06/08"</f>
        <v>0</v>
      </c>
      <c r="O359" s="367"/>
      <c r="P359" s="184"/>
      <c r="Q359" s="368"/>
      <c r="R359" s="267"/>
      <c r="S359" s="11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</row>
    <row r="360" spans="1:64" s="91" customFormat="1" ht="51.75" customHeight="1">
      <c r="A360" s="175"/>
      <c r="B360" s="184"/>
      <c r="C360" s="184"/>
      <c r="D360" s="95"/>
      <c r="E360" s="109"/>
      <c r="F360" s="95"/>
      <c r="G360" s="263"/>
      <c r="H360" s="97"/>
      <c r="I360" s="363"/>
      <c r="J360" s="181"/>
      <c r="K360" s="364"/>
      <c r="L360" s="113" t="s">
        <v>1237</v>
      </c>
      <c r="M360" s="358">
        <f>"https://events.techconnect.org/DTCFall/partner/abstract/form.html"</f>
        <v>0</v>
      </c>
      <c r="N360" s="366">
        <f>"2019/06/28"</f>
        <v>0</v>
      </c>
      <c r="O360" s="367"/>
      <c r="P360" s="184"/>
      <c r="Q360" s="368"/>
      <c r="R360" s="267"/>
      <c r="S360" s="11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</row>
    <row r="361" spans="1:64" s="91" customFormat="1" ht="58.5" customHeight="1">
      <c r="A361" s="175"/>
      <c r="B361" s="184"/>
      <c r="C361" s="184"/>
      <c r="D361" s="95"/>
      <c r="E361" s="109"/>
      <c r="F361" s="95"/>
      <c r="G361" s="263"/>
      <c r="H361" s="97"/>
      <c r="I361" s="363"/>
      <c r="J361" s="181"/>
      <c r="K361" s="364"/>
      <c r="L361" s="113"/>
      <c r="M361" s="358"/>
      <c r="N361" s="366"/>
      <c r="O361" s="367"/>
      <c r="P361" s="184"/>
      <c r="Q361" s="368"/>
      <c r="R361" s="267" t="s">
        <v>73</v>
      </c>
      <c r="S361" s="11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</row>
    <row r="362" spans="1:64" ht="57.75" customHeight="1">
      <c r="A362" s="175" t="s">
        <v>1238</v>
      </c>
      <c r="B362" s="184" t="s">
        <v>1239</v>
      </c>
      <c r="C362" s="184">
        <f>"https://events.techconnect.org/DTCFall/sbir.html"</f>
        <v>0</v>
      </c>
      <c r="D362" s="95" t="s">
        <v>1231</v>
      </c>
      <c r="E362" s="109" t="s">
        <v>1232</v>
      </c>
      <c r="F362" s="95" t="s">
        <v>1240</v>
      </c>
      <c r="G362" s="263" t="s">
        <v>1241</v>
      </c>
      <c r="H362" s="179"/>
      <c r="I362" s="363"/>
      <c r="J362" s="181" t="s">
        <v>1242</v>
      </c>
      <c r="K362" s="371" t="s">
        <v>1243</v>
      </c>
      <c r="L362" s="113">
        <f>"Exhibitor&amp;rsquo;s info.:  https://fall.smartcitiesconnect.org/expo/"</f>
        <v>0</v>
      </c>
      <c r="M362" s="358"/>
      <c r="N362" s="366"/>
      <c r="O362" s="367"/>
      <c r="P362" s="279"/>
      <c r="Q362" s="368"/>
      <c r="R362" s="267" t="s">
        <v>1244</v>
      </c>
      <c r="S362" s="11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</row>
    <row r="363" spans="1:64" s="91" customFormat="1" ht="38.25" customHeight="1">
      <c r="A363" s="175" t="s">
        <v>1245</v>
      </c>
      <c r="B363" s="184" t="s">
        <v>1246</v>
      </c>
      <c r="C363" s="184">
        <f>"https://fall.smartcitiesconnect.org/"</f>
        <v>0</v>
      </c>
      <c r="D363" s="95" t="s">
        <v>1231</v>
      </c>
      <c r="E363" s="109" t="s">
        <v>1232</v>
      </c>
      <c r="F363" s="95" t="s">
        <v>1247</v>
      </c>
      <c r="G363" s="263" t="s">
        <v>1248</v>
      </c>
      <c r="H363" s="179"/>
      <c r="I363" s="363"/>
      <c r="J363" s="181" t="s">
        <v>1249</v>
      </c>
      <c r="K363" s="372"/>
      <c r="L363" s="113"/>
      <c r="M363" s="358"/>
      <c r="N363" s="366"/>
      <c r="O363" s="367"/>
      <c r="P363" s="279"/>
      <c r="Q363" s="368"/>
      <c r="R363" s="267"/>
      <c r="S363" s="11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</row>
    <row r="364" spans="1:64" s="91" customFormat="1" ht="36" customHeight="1">
      <c r="A364" s="197" t="s">
        <v>74</v>
      </c>
      <c r="B364" s="197" t="s">
        <v>1250</v>
      </c>
      <c r="C364" s="197">
        <f>"https://www.sae.org/learn/content/c1868/"</f>
        <v>0</v>
      </c>
      <c r="D364" s="197" t="s">
        <v>76</v>
      </c>
      <c r="E364" s="253" t="s">
        <v>1232</v>
      </c>
      <c r="F364" s="197" t="s">
        <v>78</v>
      </c>
      <c r="G364" s="118" t="s">
        <v>79</v>
      </c>
      <c r="H364" s="345" t="s">
        <v>82</v>
      </c>
      <c r="I364" s="280"/>
      <c r="J364" s="268"/>
      <c r="K364" s="373"/>
      <c r="L364" s="261" t="s">
        <v>1251</v>
      </c>
      <c r="M364" s="262" t="s">
        <v>421</v>
      </c>
      <c r="N364" s="274"/>
      <c r="O364" s="104" t="s">
        <v>83</v>
      </c>
      <c r="P364" s="197">
        <f>"https://www.sae.org/learn/professional-development"</f>
        <v>0</v>
      </c>
      <c r="Q364" s="297" t="s">
        <v>72</v>
      </c>
      <c r="R364" s="115" t="s">
        <v>73</v>
      </c>
      <c r="S364" s="11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</row>
    <row r="365" spans="1:64" s="91" customFormat="1" ht="26.25" customHeight="1">
      <c r="A365" s="197"/>
      <c r="B365" s="197"/>
      <c r="C365" s="197"/>
      <c r="D365" s="197"/>
      <c r="E365" s="253"/>
      <c r="F365" s="197"/>
      <c r="G365" s="118"/>
      <c r="H365" s="358" t="s">
        <v>84</v>
      </c>
      <c r="I365" s="280"/>
      <c r="J365" s="268"/>
      <c r="K365" s="373"/>
      <c r="L365" s="261"/>
      <c r="M365" s="262"/>
      <c r="N365" s="274"/>
      <c r="O365" s="104"/>
      <c r="P365" s="104"/>
      <c r="Q365" s="104"/>
      <c r="R365" s="115"/>
      <c r="S365" s="11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</row>
    <row r="366" spans="1:64" s="91" customFormat="1" ht="50.25" customHeight="1">
      <c r="A366" s="92" t="s">
        <v>1252</v>
      </c>
      <c r="B366" s="95" t="s">
        <v>1253</v>
      </c>
      <c r="C366" s="94">
        <f>"https://aetransport.org/en-gb/etc"</f>
        <v>0</v>
      </c>
      <c r="D366" s="95" t="s">
        <v>1254</v>
      </c>
      <c r="E366" s="374" t="s">
        <v>1255</v>
      </c>
      <c r="F366" s="95" t="s">
        <v>1256</v>
      </c>
      <c r="G366" s="304" t="s">
        <v>1257</v>
      </c>
      <c r="H366" s="152"/>
      <c r="I366" s="119"/>
      <c r="J366" s="268" t="s">
        <v>1258</v>
      </c>
      <c r="K366" s="100"/>
      <c r="L366" s="101">
        <f>"https://aetransport.org/en-gb/etc/this-year-at-etc/call-for-papers"</f>
        <v>0</v>
      </c>
      <c r="M366" s="102">
        <f>"https://aetransport.org/en-gb/etc/this-year-at-etc/submit-an-abstract"</f>
        <v>0</v>
      </c>
      <c r="N366" s="274" t="s">
        <v>1259</v>
      </c>
      <c r="O366" s="104" t="s">
        <v>1260</v>
      </c>
      <c r="P366" s="95">
        <f>"https://aetransport.org/en-gb/"</f>
        <v>0</v>
      </c>
      <c r="Q366" s="105" t="s">
        <v>72</v>
      </c>
      <c r="R366" s="115" t="s">
        <v>73</v>
      </c>
      <c r="S366" s="11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</row>
    <row r="367" spans="1:64" ht="66.75" customHeight="1">
      <c r="A367" s="375" t="s">
        <v>1261</v>
      </c>
      <c r="B367" s="318" t="s">
        <v>1262</v>
      </c>
      <c r="C367" s="319">
        <f>"https://register.gotowebinar.com/register/4415466473565758211"</f>
        <v>0</v>
      </c>
      <c r="D367" s="291"/>
      <c r="E367" s="162" t="s">
        <v>1263</v>
      </c>
      <c r="F367" s="291" t="s">
        <v>1149</v>
      </c>
      <c r="G367" s="376">
        <f>"Battery Intelligence Systems (BIS) can enable accelerated development cycles and time to market."</f>
        <v>0</v>
      </c>
      <c r="H367" s="377" t="s">
        <v>1150</v>
      </c>
      <c r="I367" s="292"/>
      <c r="J367" s="293"/>
      <c r="K367" s="204"/>
      <c r="L367" s="168"/>
      <c r="M367" s="324"/>
      <c r="N367" s="378"/>
      <c r="O367" s="171" t="s">
        <v>99</v>
      </c>
      <c r="P367" s="172" t="s">
        <v>829</v>
      </c>
      <c r="Q367" s="379" t="s">
        <v>72</v>
      </c>
      <c r="R367" s="174" t="s">
        <v>73</v>
      </c>
      <c r="S367" s="11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</row>
    <row r="368" spans="1:64" s="91" customFormat="1" ht="63.75" customHeight="1">
      <c r="A368" s="92" t="s">
        <v>1264</v>
      </c>
      <c r="B368" s="93" t="s">
        <v>1265</v>
      </c>
      <c r="C368" s="94">
        <f>"http://transportationcamp.org/events/nyc-2019/"</f>
        <v>0</v>
      </c>
      <c r="D368" s="95" t="s">
        <v>1266</v>
      </c>
      <c r="E368" s="95" t="s">
        <v>1267</v>
      </c>
      <c r="F368" s="95" t="s">
        <v>61</v>
      </c>
      <c r="G368" s="304" t="s">
        <v>1268</v>
      </c>
      <c r="H368" s="97"/>
      <c r="I368" s="98"/>
      <c r="J368" s="99"/>
      <c r="K368" s="100">
        <f>"Series link:  http://transportationcamp.org/"</f>
        <v>0</v>
      </c>
      <c r="L368" s="101">
        <f>"essential guide"</f>
        <v>0</v>
      </c>
      <c r="M368" s="102">
        <f>"http://transportationcamp.org/2011/02/how-transportationcamp-works-the-essential-guide/"</f>
        <v>0</v>
      </c>
      <c r="N368" s="103"/>
      <c r="O368" s="104"/>
      <c r="P368" s="95"/>
      <c r="Q368" s="105" t="s">
        <v>54</v>
      </c>
      <c r="R368" s="106" t="s">
        <v>63</v>
      </c>
      <c r="S368" s="107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</row>
    <row r="369" spans="1:64" s="91" customFormat="1" ht="66" customHeight="1">
      <c r="A369" s="92" t="s">
        <v>1269</v>
      </c>
      <c r="B369" s="93" t="s">
        <v>1270</v>
      </c>
      <c r="C369" s="94">
        <f>"https://vppc2019.org/"</f>
        <v>0</v>
      </c>
      <c r="D369" s="95" t="s">
        <v>1271</v>
      </c>
      <c r="E369" s="109" t="s">
        <v>1272</v>
      </c>
      <c r="F369" s="95" t="s">
        <v>1273</v>
      </c>
      <c r="G369" s="295" t="s">
        <v>1274</v>
      </c>
      <c r="H369" s="97"/>
      <c r="I369" s="98"/>
      <c r="J369" s="99"/>
      <c r="K369" s="100"/>
      <c r="L369" s="101">
        <f>"https://vppc2019.org/wp-content/uploads/2019/02/VPPC2019-Official-Call-for-Papers.pdf"</f>
        <v>0</v>
      </c>
      <c r="M369" s="102"/>
      <c r="N369" s="274">
        <f>"Special-session proposals due:  2019/03/31"</f>
        <v>0</v>
      </c>
      <c r="O369" s="265" t="s">
        <v>1117</v>
      </c>
      <c r="P369" s="95" t="s">
        <v>1275</v>
      </c>
      <c r="Q369" s="266" t="s">
        <v>72</v>
      </c>
      <c r="R369" s="267" t="s">
        <v>73</v>
      </c>
      <c r="S369" s="11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</row>
    <row r="370" spans="1:64" ht="36.75" customHeight="1">
      <c r="A370" s="92"/>
      <c r="B370" s="93"/>
      <c r="C370" s="380" t="s">
        <v>1276</v>
      </c>
      <c r="D370" s="95"/>
      <c r="E370" s="95"/>
      <c r="F370" s="95"/>
      <c r="G370" s="295"/>
      <c r="H370" s="97"/>
      <c r="I370" s="98"/>
      <c r="J370" s="99"/>
      <c r="K370" s="100"/>
      <c r="L370" s="101">
        <f>"Digest Guidelines (3-5 pages):  https://vppc2019.org/digest/"</f>
        <v>0</v>
      </c>
      <c r="M370" s="374" t="s">
        <v>1277</v>
      </c>
      <c r="N370" s="374"/>
      <c r="O370" s="265"/>
      <c r="P370" s="95"/>
      <c r="Q370" s="266"/>
      <c r="R370" s="267"/>
      <c r="S370" s="11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</row>
    <row r="371" spans="1:64" ht="39" customHeight="1">
      <c r="A371" s="92"/>
      <c r="B371" s="93"/>
      <c r="C371" s="380"/>
      <c r="D371" s="95"/>
      <c r="E371" s="95"/>
      <c r="F371" s="95"/>
      <c r="G371" s="295"/>
      <c r="H371" s="97"/>
      <c r="I371" s="98"/>
      <c r="J371" s="99"/>
      <c r="K371" s="100"/>
      <c r="L371" s="101" t="s">
        <v>1278</v>
      </c>
      <c r="M371" s="358"/>
      <c r="N371" s="274" t="s">
        <v>1279</v>
      </c>
      <c r="O371" s="265"/>
      <c r="P371" s="95"/>
      <c r="Q371" s="266"/>
      <c r="R371" s="267"/>
      <c r="S371" s="11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</row>
    <row r="372" spans="1:64" ht="23.25" customHeight="1">
      <c r="A372" s="92"/>
      <c r="B372" s="93"/>
      <c r="C372" s="380"/>
      <c r="D372" s="95"/>
      <c r="E372" s="95"/>
      <c r="F372" s="95"/>
      <c r="G372" s="295"/>
      <c r="H372" s="97"/>
      <c r="I372" s="98"/>
      <c r="J372" s="99"/>
      <c r="K372" s="100"/>
      <c r="L372" s="101" t="s">
        <v>1280</v>
      </c>
      <c r="M372" s="358"/>
      <c r="N372" s="274" t="s">
        <v>1281</v>
      </c>
      <c r="O372" s="265"/>
      <c r="P372" s="95"/>
      <c r="Q372" s="266"/>
      <c r="R372" s="267"/>
      <c r="S372" s="11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</row>
    <row r="373" spans="1:64" s="91" customFormat="1" ht="51" customHeight="1">
      <c r="A373" s="92" t="s">
        <v>1282</v>
      </c>
      <c r="B373" s="93" t="s">
        <v>1283</v>
      </c>
      <c r="C373" s="94">
        <f>"https://www.sae.org/attend/thermal/"</f>
        <v>0</v>
      </c>
      <c r="D373" s="95" t="s">
        <v>825</v>
      </c>
      <c r="E373" s="109" t="s">
        <v>1284</v>
      </c>
      <c r="F373" s="95" t="s">
        <v>1285</v>
      </c>
      <c r="G373" s="304" t="s">
        <v>1286</v>
      </c>
      <c r="H373" s="152"/>
      <c r="I373" s="98"/>
      <c r="J373" s="99"/>
      <c r="K373" s="100">
        <f>"https://www.sae.org/attend/thermal/contact"</f>
        <v>0</v>
      </c>
      <c r="L373" s="101"/>
      <c r="M373" s="358"/>
      <c r="N373" s="274"/>
      <c r="O373" s="265" t="s">
        <v>53</v>
      </c>
      <c r="P373" s="95" t="s">
        <v>91</v>
      </c>
      <c r="Q373" s="266" t="s">
        <v>72</v>
      </c>
      <c r="R373" s="267" t="s">
        <v>73</v>
      </c>
      <c r="S373" s="11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</row>
    <row r="374" spans="1:64" s="91" customFormat="1" ht="29.25" customHeight="1">
      <c r="A374" s="92" t="s">
        <v>1287</v>
      </c>
      <c r="B374" s="95" t="s">
        <v>1288</v>
      </c>
      <c r="C374" s="95">
        <f>"https://www.act-news.com/webinar/webinar-series-nacfes-run-on-less-technology-day/"</f>
        <v>0</v>
      </c>
      <c r="D374" s="95"/>
      <c r="E374" s="109" t="s">
        <v>1289</v>
      </c>
      <c r="F374" s="95" t="s">
        <v>1290</v>
      </c>
      <c r="G374" s="151" t="s">
        <v>1291</v>
      </c>
      <c r="H374" s="97" t="s">
        <v>1292</v>
      </c>
      <c r="I374" s="119"/>
      <c r="J374" s="112"/>
      <c r="K374" s="357"/>
      <c r="L374" s="101"/>
      <c r="M374" s="122"/>
      <c r="N374" s="278"/>
      <c r="O374" s="265" t="s">
        <v>1225</v>
      </c>
      <c r="P374" s="95">
        <f>"https://www.act-news.com/webinars/"</f>
        <v>0</v>
      </c>
      <c r="Q374" s="266" t="s">
        <v>72</v>
      </c>
      <c r="R374" s="267" t="s">
        <v>73</v>
      </c>
      <c r="S374" s="11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</row>
    <row r="375" spans="1:64" s="91" customFormat="1" ht="29.25" customHeight="1">
      <c r="A375" s="92"/>
      <c r="B375" s="95"/>
      <c r="C375" s="95"/>
      <c r="D375" s="95"/>
      <c r="E375" s="109"/>
      <c r="F375" s="95"/>
      <c r="G375" s="151"/>
      <c r="H375" s="97" t="s">
        <v>1293</v>
      </c>
      <c r="I375" s="119"/>
      <c r="J375" s="112"/>
      <c r="K375" s="357"/>
      <c r="L375" s="101"/>
      <c r="M375" s="122"/>
      <c r="N375" s="278"/>
      <c r="O375" s="265"/>
      <c r="P375" s="95"/>
      <c r="Q375" s="266"/>
      <c r="R375" s="267"/>
      <c r="S375" s="11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</row>
    <row r="376" spans="1:64" s="91" customFormat="1" ht="29.25" customHeight="1">
      <c r="A376" s="92"/>
      <c r="B376" s="95"/>
      <c r="C376" s="95"/>
      <c r="D376" s="95"/>
      <c r="E376" s="109"/>
      <c r="F376" s="95"/>
      <c r="G376" s="151"/>
      <c r="H376" s="152" t="s">
        <v>1294</v>
      </c>
      <c r="I376" s="119"/>
      <c r="J376" s="112"/>
      <c r="K376" s="357"/>
      <c r="L376" s="101"/>
      <c r="M376" s="122"/>
      <c r="N376" s="278"/>
      <c r="O376" s="265"/>
      <c r="P376" s="95"/>
      <c r="Q376" s="266"/>
      <c r="R376" s="267"/>
      <c r="S376" s="11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</row>
    <row r="377" spans="1:64" s="91" customFormat="1" ht="29.25" customHeight="1">
      <c r="A377" s="92"/>
      <c r="B377" s="95"/>
      <c r="C377" s="95"/>
      <c r="D377" s="95"/>
      <c r="E377" s="109"/>
      <c r="F377" s="95"/>
      <c r="G377" s="151"/>
      <c r="H377" s="152" t="s">
        <v>1295</v>
      </c>
      <c r="I377" s="119"/>
      <c r="J377" s="112"/>
      <c r="K377" s="357"/>
      <c r="L377" s="101"/>
      <c r="M377" s="122"/>
      <c r="N377" s="278"/>
      <c r="O377" s="265"/>
      <c r="P377" s="95"/>
      <c r="Q377" s="266"/>
      <c r="R377" s="267"/>
      <c r="S377" s="11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</row>
    <row r="378" spans="1:64" s="91" customFormat="1" ht="76.5" customHeight="1">
      <c r="A378" s="92" t="s">
        <v>1296</v>
      </c>
      <c r="B378" s="95" t="s">
        <v>1297</v>
      </c>
      <c r="C378" s="95">
        <f>"https://www.autonomy.paris/en/"</f>
        <v>0</v>
      </c>
      <c r="D378" s="95" t="s">
        <v>679</v>
      </c>
      <c r="E378" s="109" t="s">
        <v>1298</v>
      </c>
      <c r="F378" s="95" t="s">
        <v>1299</v>
      </c>
      <c r="G378" s="151" t="s">
        <v>1300</v>
      </c>
      <c r="H378" s="152"/>
      <c r="I378" s="119"/>
      <c r="J378" s="112"/>
      <c r="K378" s="357"/>
      <c r="L378" s="101"/>
      <c r="M378" s="122"/>
      <c r="N378" s="278"/>
      <c r="O378" s="265"/>
      <c r="P378" s="95"/>
      <c r="Q378" s="266" t="s">
        <v>72</v>
      </c>
      <c r="R378" s="267" t="s">
        <v>73</v>
      </c>
      <c r="S378" s="11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</row>
    <row r="379" spans="1:64" s="91" customFormat="1" ht="66" customHeight="1">
      <c r="A379" s="92" t="s">
        <v>1301</v>
      </c>
      <c r="B379" s="93" t="s">
        <v>1302</v>
      </c>
      <c r="C379" s="94">
        <f>"https://www.sae.org/learn/content/c1870/"</f>
        <v>0</v>
      </c>
      <c r="D379" s="95" t="s">
        <v>76</v>
      </c>
      <c r="E379" s="301" t="s">
        <v>1303</v>
      </c>
      <c r="F379" s="95" t="s">
        <v>1304</v>
      </c>
      <c r="G379" s="96" t="s">
        <v>1305</v>
      </c>
      <c r="H379" s="145">
        <f>"Instructor:  Manoj Shah"</f>
        <v>0</v>
      </c>
      <c r="I379" s="98"/>
      <c r="J379" s="381"/>
      <c r="K379" s="100"/>
      <c r="L379" s="101" t="s">
        <v>1306</v>
      </c>
      <c r="M379" s="358" t="s">
        <v>1307</v>
      </c>
      <c r="N379" s="345"/>
      <c r="O379" s="141" t="s">
        <v>83</v>
      </c>
      <c r="P379" s="95">
        <f>"https://www.sae.org/learn/professional-development"</f>
        <v>0</v>
      </c>
      <c r="Q379" s="105" t="s">
        <v>72</v>
      </c>
      <c r="R379" s="115" t="s">
        <v>73</v>
      </c>
      <c r="S379" s="11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</row>
    <row r="380" spans="1:19" s="91" customFormat="1" ht="26.25" customHeight="1">
      <c r="A380" s="92" t="s">
        <v>1308</v>
      </c>
      <c r="B380" s="95" t="s">
        <v>1309</v>
      </c>
      <c r="C380" s="186">
        <f>"https://www.altcarexposocal.com/"</f>
        <v>0</v>
      </c>
      <c r="D380" s="95" t="s">
        <v>1310</v>
      </c>
      <c r="E380" s="109" t="s">
        <v>1303</v>
      </c>
      <c r="F380" s="95" t="s">
        <v>1311</v>
      </c>
      <c r="G380" s="295" t="s">
        <v>1312</v>
      </c>
      <c r="H380" s="97"/>
      <c r="I380" s="98" t="s">
        <v>1313</v>
      </c>
      <c r="J380" s="268" t="s">
        <v>1314</v>
      </c>
      <c r="K380" s="100">
        <f>"mailto:info@altcarexpo.com"</f>
        <v>0</v>
      </c>
      <c r="L380" s="98" t="s">
        <v>1315</v>
      </c>
      <c r="M380" s="382">
        <f>"https://www.altcarexposocal.com/conference"</f>
        <v>0</v>
      </c>
      <c r="N380" s="382"/>
      <c r="O380" s="265" t="s">
        <v>1316</v>
      </c>
      <c r="P380" s="95">
        <f>"https://www.altcarexposac.com/altcarexpo"</f>
        <v>0</v>
      </c>
      <c r="Q380" s="266" t="s">
        <v>54</v>
      </c>
      <c r="R380" s="270" t="s">
        <v>55</v>
      </c>
      <c r="S380" s="107"/>
    </row>
    <row r="381" spans="1:19" s="91" customFormat="1" ht="38.25" customHeight="1">
      <c r="A381" s="92"/>
      <c r="B381" s="95"/>
      <c r="C381" s="186"/>
      <c r="D381" s="95"/>
      <c r="E381" s="109"/>
      <c r="F381" s="95"/>
      <c r="G381" s="295"/>
      <c r="H381" s="97"/>
      <c r="I381" s="98"/>
      <c r="J381" s="268"/>
      <c r="K381" s="100"/>
      <c r="L381" s="98" t="s">
        <v>1317</v>
      </c>
      <c r="M381" s="257">
        <f>"https://altcar.formstack.com/forms/ac_2019_riverside_conference_registration"</f>
        <v>0</v>
      </c>
      <c r="N381" s="257"/>
      <c r="O381" s="265"/>
      <c r="P381" s="95"/>
      <c r="Q381" s="266"/>
      <c r="R381" s="270"/>
      <c r="S381" s="107"/>
    </row>
    <row r="382" spans="1:64" s="91" customFormat="1" ht="15.75" customHeight="1">
      <c r="A382" s="92"/>
      <c r="B382" s="95"/>
      <c r="C382" s="186"/>
      <c r="D382" s="95"/>
      <c r="E382" s="109"/>
      <c r="F382" s="109"/>
      <c r="G382" s="295"/>
      <c r="H382" s="97"/>
      <c r="I382" s="119" t="s">
        <v>1318</v>
      </c>
      <c r="J382" s="268"/>
      <c r="K382" s="373">
        <f>"https://www.altcarexposocal.com/join-mailing-list"</f>
        <v>0</v>
      </c>
      <c r="L382" s="180" t="s">
        <v>1319</v>
      </c>
      <c r="M382" s="257">
        <f>"https://www.altcarexposocal.com/expo"</f>
        <v>0</v>
      </c>
      <c r="N382" s="257"/>
      <c r="O382" s="265"/>
      <c r="P382" s="95"/>
      <c r="Q382" s="266"/>
      <c r="R382" s="270"/>
      <c r="S382" s="11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</row>
    <row r="383" spans="1:64" s="91" customFormat="1" ht="26.25" customHeight="1">
      <c r="A383" s="92"/>
      <c r="B383" s="95"/>
      <c r="C383" s="186"/>
      <c r="D383" s="95"/>
      <c r="E383" s="109"/>
      <c r="F383" s="109"/>
      <c r="G383" s="295"/>
      <c r="H383" s="97"/>
      <c r="I383" s="119"/>
      <c r="J383" s="268"/>
      <c r="K383" s="373"/>
      <c r="L383" s="180" t="s">
        <v>1320</v>
      </c>
      <c r="M383" s="257">
        <f>"https://www.altcarexposocal.com/ride-drive"</f>
        <v>0</v>
      </c>
      <c r="N383" s="257"/>
      <c r="O383" s="265"/>
      <c r="P383" s="95"/>
      <c r="Q383" s="266"/>
      <c r="R383" s="270"/>
      <c r="S383" s="11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</row>
    <row r="384" spans="1:64" s="91" customFormat="1" ht="78" customHeight="1">
      <c r="A384" s="92" t="s">
        <v>1321</v>
      </c>
      <c r="B384" s="93" t="s">
        <v>1322</v>
      </c>
      <c r="C384" s="94">
        <f>"http://jalonmtl.org/en/jalon-awards/"</f>
        <v>0</v>
      </c>
      <c r="D384" s="95" t="s">
        <v>442</v>
      </c>
      <c r="E384" s="109" t="s">
        <v>1323</v>
      </c>
      <c r="F384" s="95" t="s">
        <v>1324</v>
      </c>
      <c r="G384" s="304" t="s">
        <v>1325</v>
      </c>
      <c r="H384" s="152"/>
      <c r="I384" s="98" t="s">
        <v>1326</v>
      </c>
      <c r="J384" s="99"/>
      <c r="K384" s="100">
        <f>"https://jalonmtl.org/en/contact-us/"</f>
        <v>0</v>
      </c>
      <c r="L384" s="101">
        <f>"Application Form:  https://jalonmtl.org/wp-content/uploads/2019/04/Prix_Jalon_Mobilite_Formulaire_EN_final.pdf"</f>
        <v>0</v>
      </c>
      <c r="M384" s="358">
        <f>"Application Rules and Criteria:  https://jalonmtl.org/wp-content/uploads/2019/04/Prix_Jalon_Mobilite_Reglements_EN_final.pdf"</f>
        <v>0</v>
      </c>
      <c r="N384" s="274" t="s">
        <v>1327</v>
      </c>
      <c r="O384" s="104" t="s">
        <v>445</v>
      </c>
      <c r="P384" s="197">
        <f>"https://emc-mec.ca/event/"</f>
        <v>0</v>
      </c>
      <c r="Q384" s="105" t="s">
        <v>54</v>
      </c>
      <c r="R384" s="106" t="s">
        <v>55</v>
      </c>
      <c r="S384" s="11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</row>
    <row r="385" spans="1:64" s="91" customFormat="1" ht="56.25" customHeight="1">
      <c r="A385" s="92" t="s">
        <v>1328</v>
      </c>
      <c r="B385" s="93" t="s">
        <v>1329</v>
      </c>
      <c r="C385" s="94">
        <f>"https://teslasciencecenter.org/events/teslamania-2019/"</f>
        <v>0</v>
      </c>
      <c r="D385" s="95" t="s">
        <v>1330</v>
      </c>
      <c r="E385" s="109" t="s">
        <v>1331</v>
      </c>
      <c r="F385" s="95" t="s">
        <v>1332</v>
      </c>
      <c r="G385" s="304" t="s">
        <v>1333</v>
      </c>
      <c r="H385" s="152"/>
      <c r="I385" s="98"/>
      <c r="J385" s="99"/>
      <c r="K385" s="100"/>
      <c r="L385" s="101"/>
      <c r="M385" s="358"/>
      <c r="N385" s="274"/>
      <c r="O385" s="104" t="s">
        <v>209</v>
      </c>
      <c r="P385" s="197" t="s">
        <v>642</v>
      </c>
      <c r="Q385" s="105" t="s">
        <v>108</v>
      </c>
      <c r="R385" s="106" t="s">
        <v>109</v>
      </c>
      <c r="S385" s="11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</row>
    <row r="386" spans="1:64" s="91" customFormat="1" ht="40.5" customHeight="1">
      <c r="A386" s="92" t="s">
        <v>1334</v>
      </c>
      <c r="B386" s="93" t="s">
        <v>1335</v>
      </c>
      <c r="C386" s="186">
        <f>"https://itsworldcongress2019.com/"</f>
        <v>0</v>
      </c>
      <c r="D386" s="95" t="s">
        <v>1336</v>
      </c>
      <c r="E386" s="109" t="s">
        <v>1337</v>
      </c>
      <c r="F386" s="95" t="s">
        <v>1338</v>
      </c>
      <c r="G386" s="295" t="s">
        <v>1339</v>
      </c>
      <c r="H386" s="97"/>
      <c r="I386" s="98"/>
      <c r="J386" s="268"/>
      <c r="K386" s="100">
        <f>"Exhibitors&amp;rsquo; Info.:  https://itsworldcongress2019.com/exhibition/"</f>
        <v>0</v>
      </c>
      <c r="L386" s="113">
        <f>"Call for Papers:  https://itsworldcongress2019.com/programme/paper-submission/"</f>
        <v>0</v>
      </c>
      <c r="M386" s="262">
        <f>"Submissions login page (papers and special-interest sessions):  https://programme.itsworldcongress2019.com/login"</f>
        <v>0</v>
      </c>
      <c r="N386" s="278">
        <f>"2019/01/22  23:59 GMT+8 (extended)"</f>
        <v>0</v>
      </c>
      <c r="O386" s="104"/>
      <c r="P386" s="95"/>
      <c r="Q386" s="105" t="s">
        <v>72</v>
      </c>
      <c r="R386" s="115" t="s">
        <v>73</v>
      </c>
      <c r="S386" s="11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</row>
    <row r="387" spans="1:64" s="91" customFormat="1" ht="40.5" customHeight="1">
      <c r="A387" s="92"/>
      <c r="B387" s="93"/>
      <c r="C387" s="186"/>
      <c r="D387" s="95"/>
      <c r="E387" s="109"/>
      <c r="F387" s="95"/>
      <c r="G387" s="295"/>
      <c r="H387" s="97"/>
      <c r="I387" s="98"/>
      <c r="J387" s="268"/>
      <c r="K387" s="100"/>
      <c r="L387" s="113">
        <f>"Brochure:  https://itsworldcongress2019.com/content/uploads/2018/12/ITSWC2019-Call-for-Papers.pdf"</f>
        <v>0</v>
      </c>
      <c r="M387" s="262"/>
      <c r="N387" s="278"/>
      <c r="O387" s="104"/>
      <c r="P387" s="95"/>
      <c r="Q387" s="105"/>
      <c r="R387" s="115"/>
      <c r="S387" s="11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</row>
    <row r="388" spans="1:64" s="91" customFormat="1" ht="40.5" customHeight="1">
      <c r="A388" s="92"/>
      <c r="B388" s="93"/>
      <c r="C388" s="186"/>
      <c r="D388" s="95"/>
      <c r="E388" s="109"/>
      <c r="F388" s="95"/>
      <c r="G388" s="295"/>
      <c r="H388" s="97"/>
      <c r="I388" s="98"/>
      <c r="J388" s="268"/>
      <c r="K388" s="100" t="s">
        <v>1340</v>
      </c>
      <c r="L388" s="113">
        <f>"Call for Demonstrations:  https://itsworldcongress2019.com/programme/demonstrations/"</f>
        <v>0</v>
      </c>
      <c r="M388" s="262"/>
      <c r="N388" s="278" t="s">
        <v>1341</v>
      </c>
      <c r="O388" s="104"/>
      <c r="P388" s="95"/>
      <c r="Q388" s="105"/>
      <c r="R388" s="115"/>
      <c r="S388" s="11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</row>
    <row r="389" spans="1:64" s="91" customFormat="1" ht="54" customHeight="1">
      <c r="A389" s="92"/>
      <c r="B389" s="93"/>
      <c r="C389" s="186"/>
      <c r="D389" s="95"/>
      <c r="E389" s="109"/>
      <c r="F389" s="95"/>
      <c r="G389" s="295"/>
      <c r="H389" s="97"/>
      <c r="I389" s="98"/>
      <c r="J389" s="268"/>
      <c r="K389" s="100"/>
      <c r="L389" s="113">
        <f>"Brochure:  https://itsworldcongress2019.com/content/uploads/2018/09/ITSWC2019_Call_for_Demonstrations.pdf"</f>
        <v>0</v>
      </c>
      <c r="M389" s="262"/>
      <c r="N389" s="278"/>
      <c r="O389" s="104"/>
      <c r="P389" s="95"/>
      <c r="Q389" s="105"/>
      <c r="R389" s="115"/>
      <c r="S389" s="11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</row>
    <row r="390" spans="1:64" s="91" customFormat="1" ht="26.25" customHeight="1">
      <c r="A390" s="92" t="s">
        <v>1342</v>
      </c>
      <c r="B390" s="93" t="s">
        <v>1343</v>
      </c>
      <c r="C390" s="186">
        <f>"https://events.publicsectornetwork.co/events/future-mobility-canada-series-2019/"</f>
        <v>0</v>
      </c>
      <c r="D390" s="95"/>
      <c r="E390" s="109" t="s">
        <v>1337</v>
      </c>
      <c r="F390" s="95" t="s">
        <v>1344</v>
      </c>
      <c r="G390" s="295" t="s">
        <v>1345</v>
      </c>
      <c r="H390" s="304"/>
      <c r="I390" s="98"/>
      <c r="J390" s="268"/>
      <c r="K390" s="100"/>
      <c r="L390" s="101"/>
      <c r="M390" s="262"/>
      <c r="N390" s="278"/>
      <c r="O390" s="104" t="s">
        <v>749</v>
      </c>
      <c r="P390" s="330">
        <f>"https://www.itscanada.ca/events/event-list.html"</f>
        <v>0</v>
      </c>
      <c r="Q390" s="105" t="s">
        <v>72</v>
      </c>
      <c r="R390" s="115" t="s">
        <v>73</v>
      </c>
      <c r="S390" s="11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</row>
    <row r="391" spans="1:64" s="91" customFormat="1" ht="41.25" customHeight="1">
      <c r="A391" s="92"/>
      <c r="B391" s="93"/>
      <c r="C391" s="186"/>
      <c r="D391" s="95" t="s">
        <v>1346</v>
      </c>
      <c r="E391" s="109" t="s">
        <v>1347</v>
      </c>
      <c r="F391" s="95"/>
      <c r="G391" s="295"/>
      <c r="H391" s="304">
        <f>"https://events.publicsectornetwork.co/wp-content/uploads/2019/07/Future-Mobility_Vancouver.pdf"</f>
        <v>0</v>
      </c>
      <c r="I391" s="98"/>
      <c r="J391" s="268"/>
      <c r="K391" s="100"/>
      <c r="L391" s="101"/>
      <c r="M391" s="262"/>
      <c r="N391" s="278"/>
      <c r="O391" s="104"/>
      <c r="P391" s="330"/>
      <c r="Q391" s="105"/>
      <c r="R391" s="115"/>
      <c r="S391" s="11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</row>
    <row r="392" spans="1:64" s="91" customFormat="1" ht="41.25" customHeight="1">
      <c r="A392" s="92"/>
      <c r="B392" s="93"/>
      <c r="C392" s="186"/>
      <c r="D392" s="95" t="s">
        <v>1348</v>
      </c>
      <c r="E392" s="109" t="s">
        <v>1349</v>
      </c>
      <c r="F392" s="95"/>
      <c r="G392" s="295"/>
      <c r="H392" s="304">
        <f>"https://events.publicsectornetwork.co/wp-content/uploads/2019/07/Future-Mobility_Ottawa.pdf"</f>
        <v>0</v>
      </c>
      <c r="I392" s="98"/>
      <c r="J392" s="268"/>
      <c r="K392" s="100"/>
      <c r="L392" s="101"/>
      <c r="M392" s="262"/>
      <c r="N392" s="278"/>
      <c r="O392" s="104"/>
      <c r="P392" s="330"/>
      <c r="Q392" s="105"/>
      <c r="R392" s="115"/>
      <c r="S392" s="11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</row>
    <row r="393" spans="1:64" s="91" customFormat="1" ht="41.25" customHeight="1">
      <c r="A393" s="92"/>
      <c r="B393" s="93"/>
      <c r="C393" s="186"/>
      <c r="D393" s="95" t="s">
        <v>1350</v>
      </c>
      <c r="E393" s="109" t="s">
        <v>1351</v>
      </c>
      <c r="F393" s="95"/>
      <c r="G393" s="295"/>
      <c r="H393" s="304">
        <f>"https://events.publicsectornetwork.co/wp-content/uploads/2019/07/Future-Mobility_Toronto.pdf"</f>
        <v>0</v>
      </c>
      <c r="I393" s="98"/>
      <c r="J393" s="268"/>
      <c r="K393" s="100"/>
      <c r="L393" s="101"/>
      <c r="M393" s="262"/>
      <c r="N393" s="278"/>
      <c r="O393" s="104"/>
      <c r="P393" s="330"/>
      <c r="Q393" s="105"/>
      <c r="R393" s="115"/>
      <c r="S393" s="11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</row>
    <row r="394" spans="1:64" s="91" customFormat="1" ht="20.25" customHeight="1">
      <c r="A394" s="216" t="s">
        <v>1352</v>
      </c>
      <c r="B394" s="217" t="s">
        <v>1353</v>
      </c>
      <c r="C394" s="218">
        <f>"https://www.cambridgeenertech.com/battery-safety/"</f>
        <v>0</v>
      </c>
      <c r="D394" s="155" t="s">
        <v>1354</v>
      </c>
      <c r="E394" s="208" t="s">
        <v>1355</v>
      </c>
      <c r="F394" s="155" t="s">
        <v>1356</v>
      </c>
      <c r="G394" s="230" t="s">
        <v>1357</v>
      </c>
      <c r="H394" s="188"/>
      <c r="I394" s="149"/>
      <c r="J394" s="299" t="s">
        <v>1358</v>
      </c>
      <c r="K394" s="189">
        <f>"mailto:ce@cambridgeenertech.com"</f>
        <v>0</v>
      </c>
      <c r="L394" s="149">
        <f>"Speaker Proposal:  https://www.cambridgeenertech.com/bat/speaker-proposal"</f>
        <v>0</v>
      </c>
      <c r="M394" s="122"/>
      <c r="N394" s="103"/>
      <c r="O394" s="149" t="s">
        <v>1359</v>
      </c>
      <c r="P394" s="150">
        <f>"http://www.advancedautobat.com/"</f>
        <v>0</v>
      </c>
      <c r="Q394" s="142" t="s">
        <v>72</v>
      </c>
      <c r="R394" s="215" t="s">
        <v>73</v>
      </c>
      <c r="S394" s="11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</row>
    <row r="395" spans="1:64" s="91" customFormat="1" ht="20.25" customHeight="1">
      <c r="A395" s="216"/>
      <c r="B395" s="217"/>
      <c r="C395" s="218"/>
      <c r="D395" s="155"/>
      <c r="E395" s="208"/>
      <c r="F395" s="155"/>
      <c r="G395" s="230"/>
      <c r="H395" s="188"/>
      <c r="I395" s="149"/>
      <c r="J395" s="299" t="s">
        <v>1360</v>
      </c>
      <c r="K395" s="189"/>
      <c r="L395" s="149"/>
      <c r="M395" s="122"/>
      <c r="N395" s="103"/>
      <c r="O395" s="149"/>
      <c r="P395" s="150"/>
      <c r="Q395" s="142"/>
      <c r="R395" s="215"/>
      <c r="S395" s="11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</row>
    <row r="396" spans="1:64" s="91" customFormat="1" ht="49.5" customHeight="1">
      <c r="A396" s="294">
        <f>"Session:  Recycling and Repurposing"</f>
        <v>0</v>
      </c>
      <c r="B396" s="217"/>
      <c r="C396" s="218">
        <f>"https://www.cambridgeenertech.com/battery-recycling"</f>
        <v>0</v>
      </c>
      <c r="D396" s="155"/>
      <c r="E396" s="208" t="s">
        <v>1361</v>
      </c>
      <c r="F396" s="155"/>
      <c r="G396" s="209" t="s">
        <v>1362</v>
      </c>
      <c r="H396" s="210"/>
      <c r="I396" s="211" t="s">
        <v>1363</v>
      </c>
      <c r="J396" s="299" t="s">
        <v>1364</v>
      </c>
      <c r="K396" s="213">
        <f>"mailto:vmosolgo@cambridgeenertech.com"</f>
        <v>0</v>
      </c>
      <c r="L396" s="149"/>
      <c r="M396" s="122"/>
      <c r="N396" s="103"/>
      <c r="O396" s="149"/>
      <c r="P396" s="150"/>
      <c r="Q396" s="142"/>
      <c r="R396" s="215"/>
      <c r="S396" s="11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</row>
    <row r="397" spans="1:64" s="91" customFormat="1" ht="65.25" customHeight="1">
      <c r="A397" s="294" t="s">
        <v>1365</v>
      </c>
      <c r="B397" s="217"/>
      <c r="C397" s="218">
        <f>"https://www.cambridgeenertech.com/battery-forensics"</f>
        <v>0</v>
      </c>
      <c r="D397" s="155"/>
      <c r="E397" s="208" t="s">
        <v>1351</v>
      </c>
      <c r="F397" s="155"/>
      <c r="G397" s="209" t="s">
        <v>1366</v>
      </c>
      <c r="H397" s="210"/>
      <c r="I397" s="211" t="s">
        <v>1367</v>
      </c>
      <c r="J397" s="299" t="s">
        <v>1368</v>
      </c>
      <c r="K397" s="213">
        <f>"mailto:sjohnson@cambridgeinnovationinstitute.com"</f>
        <v>0</v>
      </c>
      <c r="L397" s="149"/>
      <c r="M397" s="122"/>
      <c r="N397" s="103"/>
      <c r="O397" s="149"/>
      <c r="P397" s="150"/>
      <c r="Q397" s="142"/>
      <c r="R397" s="215"/>
      <c r="S397" s="11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</row>
    <row r="398" spans="1:64" s="91" customFormat="1" ht="75.75" customHeight="1">
      <c r="A398" s="92" t="s">
        <v>1369</v>
      </c>
      <c r="B398" s="93" t="s">
        <v>1370</v>
      </c>
      <c r="C398" s="94">
        <f>"https://avere.org/event/international-congress-on-electric-mobility-connected-and-autonomous-vehicle-ceve2019/?instance_id=18"</f>
        <v>0</v>
      </c>
      <c r="D398" s="197" t="s">
        <v>1371</v>
      </c>
      <c r="E398" s="109" t="s">
        <v>1372</v>
      </c>
      <c r="F398" s="197" t="s">
        <v>1373</v>
      </c>
      <c r="G398" s="304" t="s">
        <v>1374</v>
      </c>
      <c r="H398" s="152"/>
      <c r="I398" s="98"/>
      <c r="J398" s="268"/>
      <c r="K398" s="100"/>
      <c r="L398" s="113"/>
      <c r="M398" s="102"/>
      <c r="N398" s="278"/>
      <c r="O398" s="149" t="s">
        <v>258</v>
      </c>
      <c r="P398" s="150">
        <f>"http://avere.org/"</f>
        <v>0</v>
      </c>
      <c r="Q398" s="274" t="s">
        <v>72</v>
      </c>
      <c r="R398" s="115" t="s">
        <v>73</v>
      </c>
      <c r="S398" s="11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</row>
    <row r="399" spans="1:64" s="91" customFormat="1" ht="72" customHeight="1">
      <c r="A399" s="331" t="s">
        <v>1375</v>
      </c>
      <c r="B399" s="93" t="s">
        <v>1376</v>
      </c>
      <c r="C399" s="94">
        <f>"https://register.gotowebinar.com/register/3875262117188275971"</f>
        <v>0</v>
      </c>
      <c r="D399" s="197"/>
      <c r="E399" s="109" t="s">
        <v>1377</v>
      </c>
      <c r="F399" s="197" t="s">
        <v>1149</v>
      </c>
      <c r="G399" s="304">
        <f>"&amp;hellip; review the battery and systems qualification process for transportation and consumer electronics &amp;hellip;"</f>
        <v>0</v>
      </c>
      <c r="H399" s="277" t="s">
        <v>1150</v>
      </c>
      <c r="I399" s="98"/>
      <c r="J399" s="268"/>
      <c r="K399" s="100"/>
      <c r="L399" s="113"/>
      <c r="M399" s="102"/>
      <c r="N399" s="278"/>
      <c r="O399" s="183" t="s">
        <v>99</v>
      </c>
      <c r="P399" s="279" t="s">
        <v>829</v>
      </c>
      <c r="Q399" s="297" t="s">
        <v>72</v>
      </c>
      <c r="R399" s="106" t="s">
        <v>73</v>
      </c>
      <c r="S399" s="11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</row>
    <row r="400" spans="1:64" s="91" customFormat="1" ht="27.75" customHeight="1">
      <c r="A400" s="92" t="s">
        <v>1378</v>
      </c>
      <c r="B400" s="95" t="s">
        <v>1379</v>
      </c>
      <c r="C400" s="95">
        <f>"https://www.act-news.com/webinar/webinar-series-nacfes-run-on-less-technology-day/"</f>
        <v>0</v>
      </c>
      <c r="D400" s="95"/>
      <c r="E400" s="109" t="s">
        <v>1380</v>
      </c>
      <c r="F400" s="95" t="s">
        <v>1381</v>
      </c>
      <c r="G400" s="151" t="s">
        <v>1382</v>
      </c>
      <c r="H400" s="152" t="s">
        <v>1383</v>
      </c>
      <c r="I400" s="119"/>
      <c r="J400" s="112"/>
      <c r="K400" s="357"/>
      <c r="L400" s="101"/>
      <c r="M400" s="122"/>
      <c r="N400" s="278"/>
      <c r="O400" s="265" t="s">
        <v>1225</v>
      </c>
      <c r="P400" s="95">
        <f>"https://www.act-news.com/webinars/"</f>
        <v>0</v>
      </c>
      <c r="Q400" s="266" t="s">
        <v>72</v>
      </c>
      <c r="R400" s="267" t="s">
        <v>73</v>
      </c>
      <c r="S400" s="11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</row>
    <row r="401" spans="1:64" s="91" customFormat="1" ht="38.25" customHeight="1">
      <c r="A401" s="92"/>
      <c r="B401" s="95"/>
      <c r="C401" s="95"/>
      <c r="D401" s="95"/>
      <c r="E401" s="109"/>
      <c r="F401" s="95"/>
      <c r="G401" s="151"/>
      <c r="H401" s="152" t="s">
        <v>1384</v>
      </c>
      <c r="I401" s="119"/>
      <c r="J401" s="112"/>
      <c r="K401" s="357"/>
      <c r="L401" s="101"/>
      <c r="M401" s="122"/>
      <c r="N401" s="278"/>
      <c r="O401" s="265"/>
      <c r="P401" s="95"/>
      <c r="Q401" s="266"/>
      <c r="R401" s="267"/>
      <c r="S401" s="11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</row>
    <row r="402" spans="1:64" s="91" customFormat="1" ht="27.75" customHeight="1">
      <c r="A402" s="92"/>
      <c r="B402" s="95"/>
      <c r="C402" s="95"/>
      <c r="D402" s="95"/>
      <c r="E402" s="109"/>
      <c r="F402" s="95"/>
      <c r="G402" s="151"/>
      <c r="H402" s="152" t="s">
        <v>1385</v>
      </c>
      <c r="I402" s="119"/>
      <c r="J402" s="112"/>
      <c r="K402" s="357"/>
      <c r="L402" s="101"/>
      <c r="M402" s="122"/>
      <c r="N402" s="278"/>
      <c r="O402" s="265"/>
      <c r="P402" s="95"/>
      <c r="Q402" s="266"/>
      <c r="R402" s="267"/>
      <c r="S402" s="11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</row>
    <row r="403" spans="1:64" s="91" customFormat="1" ht="42" customHeight="1">
      <c r="A403" s="92"/>
      <c r="B403" s="95"/>
      <c r="C403" s="95"/>
      <c r="D403" s="95"/>
      <c r="E403" s="109"/>
      <c r="F403" s="95"/>
      <c r="G403" s="151"/>
      <c r="H403" s="152" t="s">
        <v>1386</v>
      </c>
      <c r="I403" s="119"/>
      <c r="J403" s="112"/>
      <c r="K403" s="357"/>
      <c r="L403" s="101"/>
      <c r="M403" s="122"/>
      <c r="N403" s="278"/>
      <c r="O403" s="265"/>
      <c r="P403" s="95"/>
      <c r="Q403" s="266"/>
      <c r="R403" s="267"/>
      <c r="S403" s="11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</row>
    <row r="404" spans="1:19" s="91" customFormat="1" ht="42" customHeight="1">
      <c r="A404" s="92" t="s">
        <v>1387</v>
      </c>
      <c r="B404" s="93" t="s">
        <v>1388</v>
      </c>
      <c r="C404" s="186">
        <f>"https://event.webcasts.com/starthere.jsp?ei=1260292&amp;tp_key=c17018c5af"</f>
        <v>0</v>
      </c>
      <c r="D404" s="95"/>
      <c r="E404" s="109" t="s">
        <v>1389</v>
      </c>
      <c r="F404" s="95" t="s">
        <v>1390</v>
      </c>
      <c r="G404" s="295">
        <f>"&amp;hellip; virtual testing of &amp;hellip; the connectivity and placement of antennas &amp;hellip; is increasingly critical to ensure the safe operations of these autonomous systems."</f>
        <v>0</v>
      </c>
      <c r="H404" s="152" t="s">
        <v>1160</v>
      </c>
      <c r="I404" s="98"/>
      <c r="J404" s="99"/>
      <c r="K404" s="100"/>
      <c r="L404" s="101"/>
      <c r="M404" s="122"/>
      <c r="N404" s="100"/>
      <c r="O404" s="149" t="s">
        <v>131</v>
      </c>
      <c r="P404" s="150">
        <f>"https://www.sae.org/webcasts"</f>
        <v>0</v>
      </c>
      <c r="Q404" s="361" t="s">
        <v>72</v>
      </c>
      <c r="R404" s="332" t="s">
        <v>73</v>
      </c>
      <c r="S404" s="117"/>
    </row>
    <row r="405" spans="1:19" s="91" customFormat="1" ht="39.75" customHeight="1">
      <c r="A405" s="92"/>
      <c r="B405" s="93"/>
      <c r="C405" s="186"/>
      <c r="D405" s="95"/>
      <c r="E405" s="109"/>
      <c r="F405" s="95"/>
      <c r="G405" s="295"/>
      <c r="H405" s="277" t="s">
        <v>191</v>
      </c>
      <c r="I405" s="98"/>
      <c r="J405" s="99"/>
      <c r="K405" s="100"/>
      <c r="L405" s="101"/>
      <c r="M405" s="122"/>
      <c r="N405" s="100"/>
      <c r="O405" s="149"/>
      <c r="P405" s="150"/>
      <c r="Q405" s="361"/>
      <c r="R405" s="332"/>
      <c r="S405" s="117"/>
    </row>
    <row r="406" spans="1:19" s="91" customFormat="1" ht="18.75" customHeight="1">
      <c r="A406" s="92"/>
      <c r="B406" s="93"/>
      <c r="C406" s="186"/>
      <c r="D406" s="95"/>
      <c r="E406" s="95"/>
      <c r="F406" s="95"/>
      <c r="G406" s="295"/>
      <c r="H406" s="145" t="s">
        <v>1140</v>
      </c>
      <c r="I406" s="98"/>
      <c r="J406" s="99"/>
      <c r="K406" s="100"/>
      <c r="L406" s="101"/>
      <c r="M406" s="122"/>
      <c r="N406" s="100"/>
      <c r="O406" s="149"/>
      <c r="P406" s="150"/>
      <c r="Q406" s="361"/>
      <c r="R406" s="332"/>
      <c r="S406" s="117"/>
    </row>
    <row r="407" spans="1:19" s="91" customFormat="1" ht="45.75" customHeight="1">
      <c r="A407" s="92" t="s">
        <v>1391</v>
      </c>
      <c r="B407" s="93" t="s">
        <v>1392</v>
      </c>
      <c r="C407" s="94">
        <f>"https://avere.org/event/electric-vehicle-summit-2019/?instance_id=30"</f>
        <v>0</v>
      </c>
      <c r="D407" s="95" t="s">
        <v>1254</v>
      </c>
      <c r="E407" s="109" t="s">
        <v>1361</v>
      </c>
      <c r="F407" s="95" t="s">
        <v>1393</v>
      </c>
      <c r="G407" s="304" t="s">
        <v>1394</v>
      </c>
      <c r="H407" s="97"/>
      <c r="I407" s="98"/>
      <c r="J407" s="268">
        <f>"+353 (0) 1 241 1520"</f>
        <v>0</v>
      </c>
      <c r="K407" s="100"/>
      <c r="L407" s="101"/>
      <c r="M407" s="122"/>
      <c r="N407" s="100"/>
      <c r="O407" s="149" t="s">
        <v>258</v>
      </c>
      <c r="P407" s="150">
        <f>"http://avere.org/"</f>
        <v>0</v>
      </c>
      <c r="Q407" s="274" t="s">
        <v>72</v>
      </c>
      <c r="R407" s="115" t="s">
        <v>73</v>
      </c>
      <c r="S407" s="117"/>
    </row>
    <row r="408" spans="1:19" s="91" customFormat="1" ht="30.75" customHeight="1">
      <c r="A408" s="92" t="s">
        <v>1395</v>
      </c>
      <c r="B408" s="93" t="s">
        <v>1396</v>
      </c>
      <c r="C408" s="186">
        <f>"https://event.webcasts.com/starthere.jsp?ei=1260651&amp;tp_key=0fccf31f72"</f>
        <v>0</v>
      </c>
      <c r="D408" s="95"/>
      <c r="E408" s="109" t="s">
        <v>1397</v>
      </c>
      <c r="F408" s="95" t="s">
        <v>1398</v>
      </c>
      <c r="G408" s="295" t="s">
        <v>1399</v>
      </c>
      <c r="H408" s="152" t="s">
        <v>1400</v>
      </c>
      <c r="I408" s="98"/>
      <c r="J408" s="99"/>
      <c r="K408" s="100"/>
      <c r="L408" s="101"/>
      <c r="M408" s="122"/>
      <c r="N408" s="100"/>
      <c r="O408" s="149" t="s">
        <v>131</v>
      </c>
      <c r="P408" s="150">
        <f>"https://www.sae.org/webcasts"</f>
        <v>0</v>
      </c>
      <c r="Q408" s="361" t="s">
        <v>72</v>
      </c>
      <c r="R408" s="332" t="s">
        <v>73</v>
      </c>
      <c r="S408" s="117"/>
    </row>
    <row r="409" spans="1:19" s="91" customFormat="1" ht="30.75" customHeight="1">
      <c r="A409" s="92"/>
      <c r="B409" s="93"/>
      <c r="C409" s="186"/>
      <c r="D409" s="95"/>
      <c r="E409" s="109"/>
      <c r="F409" s="95"/>
      <c r="G409" s="295"/>
      <c r="H409" s="277" t="s">
        <v>1401</v>
      </c>
      <c r="I409" s="98"/>
      <c r="J409" s="99"/>
      <c r="K409" s="100"/>
      <c r="L409" s="101"/>
      <c r="M409" s="122"/>
      <c r="N409" s="100"/>
      <c r="O409" s="149"/>
      <c r="P409" s="150"/>
      <c r="Q409" s="361"/>
      <c r="R409" s="332"/>
      <c r="S409" s="117"/>
    </row>
    <row r="410" spans="1:19" s="91" customFormat="1" ht="18.75" customHeight="1">
      <c r="A410" s="92"/>
      <c r="B410" s="93"/>
      <c r="C410" s="186"/>
      <c r="D410" s="95"/>
      <c r="E410" s="95"/>
      <c r="F410" s="95"/>
      <c r="G410" s="295"/>
      <c r="H410" s="145" t="s">
        <v>1140</v>
      </c>
      <c r="I410" s="98"/>
      <c r="J410" s="99"/>
      <c r="K410" s="100"/>
      <c r="L410" s="101"/>
      <c r="M410" s="122"/>
      <c r="N410" s="100"/>
      <c r="O410" s="149"/>
      <c r="P410" s="150"/>
      <c r="Q410" s="361"/>
      <c r="R410" s="332"/>
      <c r="S410" s="117"/>
    </row>
    <row r="411" spans="1:64" s="91" customFormat="1" ht="52.5" customHeight="1">
      <c r="A411" s="331" t="s">
        <v>1402</v>
      </c>
      <c r="B411" s="93" t="s">
        <v>1403</v>
      </c>
      <c r="C411" s="94">
        <f>"https://teslasciencecenter.org/events/halloween-at-wardenclyffe/"</f>
        <v>0</v>
      </c>
      <c r="D411" s="197" t="s">
        <v>638</v>
      </c>
      <c r="E411" s="109" t="s">
        <v>1404</v>
      </c>
      <c r="F411" s="197" t="s">
        <v>1405</v>
      </c>
      <c r="G411" s="304" t="s">
        <v>1406</v>
      </c>
      <c r="H411" s="277"/>
      <c r="I411" s="98"/>
      <c r="J411" s="268"/>
      <c r="K411" s="100"/>
      <c r="L411" s="113" t="s">
        <v>1407</v>
      </c>
      <c r="M411" s="102">
        <f>"https://teslasciencecenter.z2systems.com/np/clients/teslasciencecenter/eventRegistration.jsp?event=275&amp;"</f>
        <v>0</v>
      </c>
      <c r="N411" s="102"/>
      <c r="O411" s="183" t="s">
        <v>209</v>
      </c>
      <c r="P411" s="279" t="s">
        <v>642</v>
      </c>
      <c r="Q411" s="297" t="s">
        <v>108</v>
      </c>
      <c r="R411" s="106" t="s">
        <v>109</v>
      </c>
      <c r="S411" s="11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</row>
    <row r="412" spans="1:64" s="91" customFormat="1" ht="56.25" customHeight="1">
      <c r="A412" s="92" t="s">
        <v>1408</v>
      </c>
      <c r="B412" s="93" t="s">
        <v>1409</v>
      </c>
      <c r="C412" s="94">
        <f>"https://www.itsc2019.org/"</f>
        <v>0</v>
      </c>
      <c r="D412" s="197" t="s">
        <v>1410</v>
      </c>
      <c r="E412" s="109" t="s">
        <v>1411</v>
      </c>
      <c r="F412" s="197" t="s">
        <v>1412</v>
      </c>
      <c r="G412" s="304" t="s">
        <v>1413</v>
      </c>
      <c r="H412" s="152"/>
      <c r="I412" s="98"/>
      <c r="J412" s="268"/>
      <c r="K412" s="100">
        <f>"https://www.itsc2019.org/contact-us"</f>
        <v>0</v>
      </c>
      <c r="L412" s="113"/>
      <c r="M412" s="102"/>
      <c r="N412" s="278"/>
      <c r="O412" s="104" t="s">
        <v>373</v>
      </c>
      <c r="P412" s="197">
        <f>"http://sites.ieee.org/itss/"</f>
        <v>0</v>
      </c>
      <c r="Q412" s="105" t="s">
        <v>72</v>
      </c>
      <c r="R412" s="115" t="s">
        <v>73</v>
      </c>
      <c r="S412" s="11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</row>
    <row r="413" spans="1:64" s="91" customFormat="1" ht="75" customHeight="1">
      <c r="A413" s="92" t="s">
        <v>1414</v>
      </c>
      <c r="B413" s="93" t="s">
        <v>1415</v>
      </c>
      <c r="C413" s="94">
        <f>"https://connectedautomateddriving.eu/event/4th-international-driverless-vehicle-summit/"</f>
        <v>0</v>
      </c>
      <c r="D413" s="197" t="s">
        <v>1416</v>
      </c>
      <c r="E413" s="109" t="s">
        <v>1417</v>
      </c>
      <c r="F413" s="197" t="s">
        <v>1418</v>
      </c>
      <c r="G413" s="304" t="s">
        <v>1419</v>
      </c>
      <c r="H413" s="152"/>
      <c r="I413" s="98"/>
      <c r="J413" s="268"/>
      <c r="K413" s="100"/>
      <c r="L413" s="113"/>
      <c r="M413" s="102"/>
      <c r="N413" s="278"/>
      <c r="O413" s="104"/>
      <c r="P413" s="197">
        <f>"https://connectedautomateddriving.eu/"</f>
        <v>0</v>
      </c>
      <c r="Q413" s="105" t="s">
        <v>72</v>
      </c>
      <c r="R413" s="115" t="s">
        <v>73</v>
      </c>
      <c r="S413" s="11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</row>
    <row r="414" spans="1:64" s="91" customFormat="1" ht="62.25" customHeight="1">
      <c r="A414" s="92" t="s">
        <v>1420</v>
      </c>
      <c r="B414" s="93" t="s">
        <v>1421</v>
      </c>
      <c r="C414" s="94">
        <f>"https://www.sae.org/learn/content/c1953/"</f>
        <v>0</v>
      </c>
      <c r="D414" s="95" t="s">
        <v>671</v>
      </c>
      <c r="E414" s="109" t="s">
        <v>1422</v>
      </c>
      <c r="F414" s="95" t="s">
        <v>1423</v>
      </c>
      <c r="G414" s="96" t="s">
        <v>1424</v>
      </c>
      <c r="H414" s="145" t="s">
        <v>1425</v>
      </c>
      <c r="I414" s="98"/>
      <c r="J414" s="99"/>
      <c r="K414" s="100"/>
      <c r="L414" s="101" t="s">
        <v>1426</v>
      </c>
      <c r="M414" s="358" t="s">
        <v>1427</v>
      </c>
      <c r="N414" s="345"/>
      <c r="O414" s="104" t="s">
        <v>83</v>
      </c>
      <c r="P414" s="95">
        <f aca="true" t="shared" si="4" ref="P414:P415">"https://www.sae.org/learn/professional-development"</f>
        <v>0</v>
      </c>
      <c r="Q414" s="105" t="s">
        <v>72</v>
      </c>
      <c r="R414" s="115" t="s">
        <v>73</v>
      </c>
      <c r="S414" s="11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</row>
    <row r="415" spans="1:64" s="91" customFormat="1" ht="63.75" customHeight="1">
      <c r="A415" s="92" t="s">
        <v>1428</v>
      </c>
      <c r="B415" s="93" t="s">
        <v>1429</v>
      </c>
      <c r="C415" s="94">
        <f>"https://www.sae.org/learn/content/c1954/"</f>
        <v>0</v>
      </c>
      <c r="D415" s="95" t="s">
        <v>671</v>
      </c>
      <c r="E415" s="109" t="s">
        <v>1422</v>
      </c>
      <c r="F415" s="95" t="s">
        <v>235</v>
      </c>
      <c r="G415" s="96" t="s">
        <v>1430</v>
      </c>
      <c r="H415" s="145">
        <f>"Instructor: Rajeev Thakur"</f>
        <v>0</v>
      </c>
      <c r="I415" s="98"/>
      <c r="J415" s="99"/>
      <c r="K415" s="100"/>
      <c r="L415" s="101" t="s">
        <v>1426</v>
      </c>
      <c r="M415" s="358" t="s">
        <v>1427</v>
      </c>
      <c r="N415" s="345"/>
      <c r="O415" s="104" t="s">
        <v>83</v>
      </c>
      <c r="P415" s="95">
        <f t="shared" si="4"/>
        <v>0</v>
      </c>
      <c r="Q415" s="105" t="s">
        <v>72</v>
      </c>
      <c r="R415" s="115" t="s">
        <v>73</v>
      </c>
      <c r="S415" s="11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</row>
    <row r="416" spans="1:64" s="91" customFormat="1" ht="73.5" customHeight="1">
      <c r="A416" s="92" t="s">
        <v>1431</v>
      </c>
      <c r="B416" s="93" t="s">
        <v>1432</v>
      </c>
      <c r="C416" s="94">
        <f>"https://www.sae.org/learn/content/c1630/"</f>
        <v>0</v>
      </c>
      <c r="D416" s="95" t="s">
        <v>692</v>
      </c>
      <c r="E416" s="109" t="s">
        <v>1433</v>
      </c>
      <c r="F416" s="95" t="s">
        <v>1434</v>
      </c>
      <c r="G416" s="96" t="s">
        <v>1435</v>
      </c>
      <c r="H416" s="145">
        <f>"Instructor: Yuxiang Jiang, Ph.D."</f>
        <v>0</v>
      </c>
      <c r="I416" s="98"/>
      <c r="J416" s="99"/>
      <c r="K416" s="100"/>
      <c r="L416" s="101" t="s">
        <v>1436</v>
      </c>
      <c r="M416" s="358" t="s">
        <v>238</v>
      </c>
      <c r="N416" s="345"/>
      <c r="O416" s="104" t="s">
        <v>83</v>
      </c>
      <c r="P416" s="95" t="s">
        <v>1437</v>
      </c>
      <c r="Q416" s="105" t="s">
        <v>72</v>
      </c>
      <c r="R416" s="115" t="s">
        <v>73</v>
      </c>
      <c r="S416" s="11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</row>
    <row r="417" spans="1:64" s="91" customFormat="1" ht="27" customHeight="1">
      <c r="A417" s="303">
        <f>"3&lt;sup&gt;rd&lt;/sup&gt; International Advanced Automotive Battery Conference &amp;ndash; ASIA"</f>
        <v>0</v>
      </c>
      <c r="B417" s="95" t="s">
        <v>1438</v>
      </c>
      <c r="C417" s="197">
        <f>"https://www.advancedautobat.com/asia/"</f>
        <v>0</v>
      </c>
      <c r="D417" s="95" t="s">
        <v>1439</v>
      </c>
      <c r="E417" s="253" t="s">
        <v>1440</v>
      </c>
      <c r="F417" s="383">
        <f>"aabc-wh-A.png    238 x 115"</f>
        <v>0</v>
      </c>
      <c r="G417" s="144">
        <f>"&amp;hellip; novel battery chemistries and new approaches to cell and pack engineering &amp;hellip;"</f>
        <v>0</v>
      </c>
      <c r="H417" s="145"/>
      <c r="I417" s="98"/>
      <c r="J417" s="268">
        <f>"vox: (781) 972-5400"</f>
        <v>0</v>
      </c>
      <c r="K417" s="100">
        <f>"mailto:ce@cambridgeenertech.com"</f>
        <v>0</v>
      </c>
      <c r="L417" s="101"/>
      <c r="M417" s="102"/>
      <c r="N417" s="274"/>
      <c r="O417" s="149" t="s">
        <v>116</v>
      </c>
      <c r="P417" s="155" t="s">
        <v>117</v>
      </c>
      <c r="Q417" s="142" t="s">
        <v>72</v>
      </c>
      <c r="R417" s="332" t="s">
        <v>73</v>
      </c>
      <c r="S417" s="11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</row>
    <row r="418" spans="1:64" s="91" customFormat="1" ht="27" customHeight="1">
      <c r="A418" s="303"/>
      <c r="B418" s="95"/>
      <c r="C418" s="95"/>
      <c r="D418" s="95"/>
      <c r="E418" s="253"/>
      <c r="F418" s="383"/>
      <c r="G418" s="144"/>
      <c r="H418" s="145"/>
      <c r="I418" s="98"/>
      <c r="J418" s="268">
        <f>"fax: (781) 972-5425"</f>
        <v>0</v>
      </c>
      <c r="K418" s="100"/>
      <c r="L418" s="101"/>
      <c r="M418" s="102"/>
      <c r="N418" s="274"/>
      <c r="O418" s="149"/>
      <c r="P418" s="155"/>
      <c r="Q418" s="142"/>
      <c r="R418" s="332"/>
      <c r="S418" s="11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</row>
    <row r="419" spans="1:64" s="91" customFormat="1" ht="45" customHeight="1">
      <c r="A419" s="92" t="s">
        <v>1441</v>
      </c>
      <c r="B419" s="95"/>
      <c r="C419" s="94">
        <f>"https://www.advancedautobat.com/asia/tutorials"</f>
        <v>0</v>
      </c>
      <c r="D419" s="95"/>
      <c r="E419" s="109" t="s">
        <v>1442</v>
      </c>
      <c r="F419" s="383"/>
      <c r="G419" s="144"/>
      <c r="H419" s="145"/>
      <c r="I419" s="149" t="s">
        <v>1443</v>
      </c>
      <c r="J419" s="268"/>
      <c r="K419" s="100"/>
      <c r="L419" s="101"/>
      <c r="M419" s="102"/>
      <c r="N419" s="274"/>
      <c r="O419" s="149"/>
      <c r="P419" s="155"/>
      <c r="Q419" s="142"/>
      <c r="R419" s="332"/>
      <c r="S419" s="11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</row>
    <row r="420" spans="1:64" s="91" customFormat="1" ht="41.25" customHeight="1">
      <c r="A420" s="92" t="s">
        <v>1444</v>
      </c>
      <c r="B420" s="93" t="s">
        <v>1445</v>
      </c>
      <c r="C420" s="186">
        <f>"https://www.sae.org/attend/innovationsinmobility"</f>
        <v>0</v>
      </c>
      <c r="D420" s="197" t="s">
        <v>671</v>
      </c>
      <c r="E420" s="109" t="s">
        <v>1440</v>
      </c>
      <c r="F420" s="95" t="s">
        <v>1446</v>
      </c>
      <c r="G420" s="96" t="s">
        <v>1447</v>
      </c>
      <c r="H420" s="152"/>
      <c r="I420" s="98"/>
      <c r="J420" s="268"/>
      <c r="K420" s="100"/>
      <c r="L420" s="261">
        <f>"Student / Young Professional Paper Competition:  https://www.sae.org/attend/innovationsinmobility/techpapercompetition"</f>
        <v>0</v>
      </c>
      <c r="M420" s="262" t="s">
        <v>1448</v>
      </c>
      <c r="N420" s="278" t="s">
        <v>1449</v>
      </c>
      <c r="O420" s="104" t="s">
        <v>53</v>
      </c>
      <c r="P420" s="197" t="s">
        <v>91</v>
      </c>
      <c r="Q420" s="105" t="s">
        <v>72</v>
      </c>
      <c r="R420" s="115" t="s">
        <v>73</v>
      </c>
      <c r="S420" s="11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</row>
    <row r="421" spans="1:64" ht="54" customHeight="1">
      <c r="A421" s="92"/>
      <c r="B421" s="93"/>
      <c r="C421" s="186"/>
      <c r="D421" s="197"/>
      <c r="E421" s="197"/>
      <c r="F421" s="157" t="s">
        <v>1450</v>
      </c>
      <c r="G421" s="96"/>
      <c r="H421" s="152"/>
      <c r="I421" s="98"/>
      <c r="J421" s="268"/>
      <c r="K421" s="100"/>
      <c r="L421" s="261"/>
      <c r="M421" s="262"/>
      <c r="N421" s="278"/>
      <c r="O421" s="104"/>
      <c r="P421" s="197"/>
      <c r="Q421" s="105"/>
      <c r="R421" s="115"/>
      <c r="S421" s="11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</row>
    <row r="422" spans="1:64" s="91" customFormat="1" ht="27.75" customHeight="1">
      <c r="A422" s="92" t="s">
        <v>1451</v>
      </c>
      <c r="B422" s="95" t="s">
        <v>1452</v>
      </c>
      <c r="C422" s="95">
        <f>"https://www.act-news.com/webinar/webinar-renewable-hydrogens-role-in-securing-californias-decarbonized-and-energy-resilient-future/"</f>
        <v>0</v>
      </c>
      <c r="D422" s="95"/>
      <c r="E422" s="109" t="s">
        <v>1453</v>
      </c>
      <c r="F422" s="95" t="s">
        <v>1454</v>
      </c>
      <c r="G422" s="144">
        <f>"Renewable hydrogen offers a unique solution to transform California&amp;rsquo;s future energy economy, &amp;hellip;"</f>
        <v>0</v>
      </c>
      <c r="H422" s="152" t="s">
        <v>1455</v>
      </c>
      <c r="I422" s="119"/>
      <c r="J422" s="112"/>
      <c r="K422" s="373"/>
      <c r="L422" s="101">
        <f>"Registration:  http://subscribe.act-news.com/chbcoct31registration"</f>
        <v>0</v>
      </c>
      <c r="M422" s="122"/>
      <c r="N422" s="278"/>
      <c r="O422" s="265" t="s">
        <v>1225</v>
      </c>
      <c r="P422" s="95">
        <f>"https://www.act-news.com/webinars/"</f>
        <v>0</v>
      </c>
      <c r="Q422" s="266" t="s">
        <v>72</v>
      </c>
      <c r="R422" s="267" t="s">
        <v>73</v>
      </c>
      <c r="S422" s="11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</row>
    <row r="423" spans="1:64" s="91" customFormat="1" ht="30" customHeight="1">
      <c r="A423" s="92"/>
      <c r="B423" s="95"/>
      <c r="C423" s="95"/>
      <c r="D423" s="95"/>
      <c r="E423" s="109"/>
      <c r="F423" s="95"/>
      <c r="G423" s="144"/>
      <c r="H423" s="152" t="s">
        <v>1456</v>
      </c>
      <c r="I423" s="119"/>
      <c r="J423" s="112"/>
      <c r="K423" s="373"/>
      <c r="L423" s="101"/>
      <c r="M423" s="122"/>
      <c r="N423" s="278"/>
      <c r="O423" s="265"/>
      <c r="P423" s="95"/>
      <c r="Q423" s="266"/>
      <c r="R423" s="267"/>
      <c r="S423" s="11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</row>
    <row r="424" spans="1:64" s="91" customFormat="1" ht="32.25" customHeight="1">
      <c r="A424" s="92"/>
      <c r="B424" s="95"/>
      <c r="C424" s="95"/>
      <c r="D424" s="95"/>
      <c r="E424" s="109"/>
      <c r="F424" s="95"/>
      <c r="G424" s="144"/>
      <c r="H424" s="152" t="s">
        <v>1457</v>
      </c>
      <c r="I424" s="119"/>
      <c r="J424" s="112"/>
      <c r="K424" s="373"/>
      <c r="L424" s="101"/>
      <c r="M424" s="122"/>
      <c r="N424" s="278"/>
      <c r="O424" s="265"/>
      <c r="P424" s="95"/>
      <c r="Q424" s="266"/>
      <c r="R424" s="267"/>
      <c r="S424" s="11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</row>
    <row r="425" spans="1:64" ht="26.25" customHeight="1">
      <c r="A425" s="92" t="s">
        <v>1458</v>
      </c>
      <c r="B425" s="95" t="s">
        <v>1459</v>
      </c>
      <c r="C425" s="186">
        <f>"https://www.altcarexposantamonica.com/"</f>
        <v>0</v>
      </c>
      <c r="D425" s="95" t="s">
        <v>1460</v>
      </c>
      <c r="E425" s="109" t="s">
        <v>1461</v>
      </c>
      <c r="F425" s="95" t="s">
        <v>1462</v>
      </c>
      <c r="G425" s="295">
        <f>"&amp;hellip one of the best events at promoting plug in and alternative fuel vehicles &amp;hellip;"</f>
        <v>0</v>
      </c>
      <c r="H425" s="145"/>
      <c r="I425" s="98" t="s">
        <v>1313</v>
      </c>
      <c r="J425" s="268" t="s">
        <v>1314</v>
      </c>
      <c r="K425" s="100">
        <f>"mailto:info@altcarexpo.com"</f>
        <v>0</v>
      </c>
      <c r="L425" s="340" t="s">
        <v>1463</v>
      </c>
      <c r="M425" s="341">
        <f>"https://www.altcarexposocal.com/friday-conference"</f>
        <v>0</v>
      </c>
      <c r="N425" s="341"/>
      <c r="O425" s="265" t="s">
        <v>1464</v>
      </c>
      <c r="P425" s="197">
        <f>"http://www.altcarexpo.com/"</f>
        <v>0</v>
      </c>
      <c r="Q425" s="266" t="s">
        <v>54</v>
      </c>
      <c r="R425" s="270" t="s">
        <v>55</v>
      </c>
      <c r="S425" s="11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</row>
    <row r="426" spans="1:18" ht="38.25" customHeight="1">
      <c r="A426" s="92"/>
      <c r="B426" s="92"/>
      <c r="C426" s="186"/>
      <c r="D426" s="186"/>
      <c r="E426" s="109"/>
      <c r="F426" s="95"/>
      <c r="G426" s="295"/>
      <c r="H426" s="145"/>
      <c r="I426" s="98"/>
      <c r="J426" s="268"/>
      <c r="K426" s="100"/>
      <c r="L426" s="340"/>
      <c r="M426" s="341">
        <f>"Registration form: https://altcar.formstack.com/forms/ac18_conference_registration"</f>
        <v>0</v>
      </c>
      <c r="N426" s="341"/>
      <c r="O426" s="265"/>
      <c r="P426" s="197"/>
      <c r="Q426" s="266"/>
      <c r="R426" s="270"/>
    </row>
    <row r="427" spans="1:18" ht="26.25" customHeight="1">
      <c r="A427" s="92"/>
      <c r="B427" s="92"/>
      <c r="C427" s="186"/>
      <c r="D427" s="186"/>
      <c r="E427" s="109"/>
      <c r="F427" s="95"/>
      <c r="G427" s="295"/>
      <c r="H427" s="145"/>
      <c r="I427" s="119" t="s">
        <v>1318</v>
      </c>
      <c r="J427" s="112"/>
      <c r="K427" s="357">
        <f>"https://www.altcarexposantamonica.com/join-mailing-list"</f>
        <v>0</v>
      </c>
      <c r="L427" s="384" t="s">
        <v>1465</v>
      </c>
      <c r="M427" s="341">
        <f>"https://www.altcarexposantamonica.com/saturday-programming"</f>
        <v>0</v>
      </c>
      <c r="N427" s="341"/>
      <c r="O427" s="265"/>
      <c r="P427" s="197"/>
      <c r="Q427" s="266"/>
      <c r="R427" s="270"/>
    </row>
    <row r="428" spans="1:64" s="91" customFormat="1" ht="15.75" customHeight="1">
      <c r="A428" s="92"/>
      <c r="B428" s="92"/>
      <c r="C428" s="186"/>
      <c r="D428" s="186"/>
      <c r="E428" s="109"/>
      <c r="F428" s="95"/>
      <c r="G428" s="295"/>
      <c r="H428" s="145"/>
      <c r="I428" s="119"/>
      <c r="J428" s="112"/>
      <c r="K428" s="357"/>
      <c r="L428" s="180" t="s">
        <v>1466</v>
      </c>
      <c r="M428" s="257">
        <f>"https://www.altcarexposantamonica.com/expo"</f>
        <v>0</v>
      </c>
      <c r="N428" s="257"/>
      <c r="O428" s="265"/>
      <c r="P428" s="197"/>
      <c r="Q428" s="266"/>
      <c r="R428" s="270"/>
      <c r="S428" s="11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</row>
    <row r="429" spans="1:64" s="91" customFormat="1" ht="27" customHeight="1">
      <c r="A429" s="92"/>
      <c r="B429" s="92"/>
      <c r="C429" s="186"/>
      <c r="D429" s="186"/>
      <c r="E429" s="109"/>
      <c r="F429" s="95"/>
      <c r="G429" s="295"/>
      <c r="H429" s="145"/>
      <c r="I429" s="119"/>
      <c r="J429" s="112"/>
      <c r="K429" s="357"/>
      <c r="L429" s="98" t="s">
        <v>1467</v>
      </c>
      <c r="M429" s="257">
        <f>"https://www.altcarexposantamonica.com/ride-drive"</f>
        <v>0</v>
      </c>
      <c r="N429" s="257"/>
      <c r="O429" s="265"/>
      <c r="P429" s="197"/>
      <c r="Q429" s="266"/>
      <c r="R429" s="270"/>
      <c r="S429" s="11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</row>
    <row r="430" spans="1:64" s="91" customFormat="1" ht="26.25" customHeight="1">
      <c r="A430" s="92"/>
      <c r="B430" s="92"/>
      <c r="C430" s="186"/>
      <c r="D430" s="186"/>
      <c r="E430" s="109"/>
      <c r="F430" s="95"/>
      <c r="G430" s="295"/>
      <c r="H430" s="145"/>
      <c r="I430" s="119"/>
      <c r="J430" s="112"/>
      <c r="K430" s="357"/>
      <c r="L430" s="98" t="s">
        <v>1468</v>
      </c>
      <c r="M430" s="257">
        <f>"https://altcar.formstack.com/forms/ac_19_expo_rd_registration"</f>
        <v>0</v>
      </c>
      <c r="N430" s="257"/>
      <c r="O430" s="265"/>
      <c r="P430" s="197"/>
      <c r="Q430" s="266"/>
      <c r="R430" s="270"/>
      <c r="S430" s="11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</row>
    <row r="431" spans="1:64" s="91" customFormat="1" ht="54" customHeight="1">
      <c r="A431" s="92" t="s">
        <v>1469</v>
      </c>
      <c r="B431" s="93" t="s">
        <v>1470</v>
      </c>
      <c r="C431" s="186">
        <f>"https://iccve2019.com/"</f>
        <v>0</v>
      </c>
      <c r="D431" s="95" t="s">
        <v>1471</v>
      </c>
      <c r="E431" s="109" t="s">
        <v>1472</v>
      </c>
      <c r="F431" s="95" t="s">
        <v>1473</v>
      </c>
      <c r="G431" s="295" t="s">
        <v>1474</v>
      </c>
      <c r="H431" s="152"/>
      <c r="I431" s="98"/>
      <c r="J431" s="112"/>
      <c r="K431" s="100"/>
      <c r="L431" s="101"/>
      <c r="M431" s="102"/>
      <c r="N431" s="278" t="s">
        <v>1475</v>
      </c>
      <c r="O431" s="104" t="s">
        <v>373</v>
      </c>
      <c r="P431" s="95">
        <f>"https://www.ieee-itss.org/"</f>
        <v>0</v>
      </c>
      <c r="Q431" s="105" t="s">
        <v>72</v>
      </c>
      <c r="R431" s="115" t="s">
        <v>73</v>
      </c>
      <c r="S431" s="11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</row>
    <row r="432" spans="1:64" s="91" customFormat="1" ht="18.75" customHeight="1">
      <c r="A432" s="92"/>
      <c r="B432" s="93"/>
      <c r="C432" s="186"/>
      <c r="D432" s="95"/>
      <c r="E432" s="109" t="s">
        <v>1476</v>
      </c>
      <c r="F432" s="95"/>
      <c r="G432" s="295"/>
      <c r="H432" s="145" t="s">
        <v>1477</v>
      </c>
      <c r="I432" s="98"/>
      <c r="J432" s="112"/>
      <c r="K432" s="100"/>
      <c r="L432" s="101"/>
      <c r="M432" s="102"/>
      <c r="N432" s="278"/>
      <c r="O432" s="104"/>
      <c r="P432" s="95"/>
      <c r="Q432" s="105"/>
      <c r="R432" s="115"/>
      <c r="S432" s="11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</row>
    <row r="433" spans="1:64" s="91" customFormat="1" ht="25.5" customHeight="1">
      <c r="A433" s="92"/>
      <c r="B433" s="93"/>
      <c r="C433" s="186"/>
      <c r="D433" s="95"/>
      <c r="E433" s="109" t="s">
        <v>1478</v>
      </c>
      <c r="F433" s="95"/>
      <c r="G433" s="295"/>
      <c r="H433" s="145" t="s">
        <v>1479</v>
      </c>
      <c r="I433" s="98"/>
      <c r="J433" s="112"/>
      <c r="K433" s="100"/>
      <c r="L433" s="101"/>
      <c r="M433" s="102"/>
      <c r="N433" s="278"/>
      <c r="O433" s="104"/>
      <c r="P433" s="95"/>
      <c r="Q433" s="105"/>
      <c r="R433" s="115"/>
      <c r="S433" s="11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</row>
    <row r="434" spans="1:64" s="91" customFormat="1" ht="39" customHeight="1">
      <c r="A434" s="92"/>
      <c r="B434" s="93"/>
      <c r="C434" s="186"/>
      <c r="D434" s="95"/>
      <c r="E434" s="109" t="s">
        <v>1480</v>
      </c>
      <c r="F434" s="95"/>
      <c r="G434" s="304" t="s">
        <v>1481</v>
      </c>
      <c r="H434" s="145" t="s">
        <v>1482</v>
      </c>
      <c r="I434" s="98"/>
      <c r="J434" s="112"/>
      <c r="K434" s="100"/>
      <c r="L434" s="101">
        <f>"https://iccve2019.com/pages/call-4-speakers"</f>
        <v>0</v>
      </c>
      <c r="M434" s="102">
        <f>"https://edas.info/newPaper.php?c=25461&amp;track=98349"</f>
        <v>0</v>
      </c>
      <c r="N434" s="278" t="s">
        <v>1483</v>
      </c>
      <c r="O434" s="104"/>
      <c r="P434" s="95"/>
      <c r="Q434" s="105"/>
      <c r="R434" s="115"/>
      <c r="S434" s="11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</row>
    <row r="435" spans="1:64" s="91" customFormat="1" ht="24" customHeight="1">
      <c r="A435" s="92"/>
      <c r="B435" s="93"/>
      <c r="C435" s="186"/>
      <c r="D435" s="95"/>
      <c r="E435" s="109" t="s">
        <v>1484</v>
      </c>
      <c r="F435" s="95"/>
      <c r="G435" s="304"/>
      <c r="H435" s="145" t="s">
        <v>1485</v>
      </c>
      <c r="I435" s="98"/>
      <c r="J435" s="112"/>
      <c r="K435" s="100"/>
      <c r="L435" s="101"/>
      <c r="M435" s="102"/>
      <c r="N435" s="278"/>
      <c r="O435" s="104"/>
      <c r="P435" s="95"/>
      <c r="Q435" s="105"/>
      <c r="R435" s="115"/>
      <c r="S435" s="11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</row>
    <row r="436" spans="1:64" s="91" customFormat="1" ht="61.5" customHeight="1">
      <c r="A436" s="92" t="s">
        <v>708</v>
      </c>
      <c r="B436" s="93" t="s">
        <v>1486</v>
      </c>
      <c r="C436" s="94">
        <f>"https://www.sae.org/learn/content/c1128/"</f>
        <v>0</v>
      </c>
      <c r="D436" s="95" t="s">
        <v>76</v>
      </c>
      <c r="E436" s="109" t="s">
        <v>1476</v>
      </c>
      <c r="F436" s="95" t="s">
        <v>712</v>
      </c>
      <c r="G436" s="304" t="s">
        <v>713</v>
      </c>
      <c r="H436" s="145" t="s">
        <v>715</v>
      </c>
      <c r="I436" s="98"/>
      <c r="J436" s="268"/>
      <c r="K436" s="100"/>
      <c r="L436" s="113" t="s">
        <v>714</v>
      </c>
      <c r="M436" s="358" t="s">
        <v>144</v>
      </c>
      <c r="N436" s="345"/>
      <c r="O436" s="104" t="s">
        <v>83</v>
      </c>
      <c r="P436" s="95">
        <f>"https://www.sae.org/learn/professional-development"</f>
        <v>0</v>
      </c>
      <c r="Q436" s="105" t="s">
        <v>72</v>
      </c>
      <c r="R436" s="115" t="s">
        <v>73</v>
      </c>
      <c r="S436" s="11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</row>
    <row r="437" spans="1:64" s="91" customFormat="1" ht="62.25" customHeight="1">
      <c r="A437" s="92" t="s">
        <v>1487</v>
      </c>
      <c r="B437" s="93" t="s">
        <v>1488</v>
      </c>
      <c r="C437" s="94">
        <f>"https://www.sae.org/learn/content/c1627/"</f>
        <v>0</v>
      </c>
      <c r="D437" s="95" t="s">
        <v>76</v>
      </c>
      <c r="E437" s="109" t="s">
        <v>1489</v>
      </c>
      <c r="F437" s="95" t="s">
        <v>1490</v>
      </c>
      <c r="G437" s="304" t="s">
        <v>1491</v>
      </c>
      <c r="H437" s="145" t="s">
        <v>1492</v>
      </c>
      <c r="I437" s="98"/>
      <c r="J437" s="268"/>
      <c r="K437" s="100"/>
      <c r="L437" s="113" t="s">
        <v>1493</v>
      </c>
      <c r="M437" s="358" t="s">
        <v>238</v>
      </c>
      <c r="N437" s="345"/>
      <c r="O437" s="104" t="s">
        <v>83</v>
      </c>
      <c r="P437" s="95" t="s">
        <v>1437</v>
      </c>
      <c r="Q437" s="105" t="s">
        <v>72</v>
      </c>
      <c r="R437" s="115" t="s">
        <v>73</v>
      </c>
      <c r="S437" s="11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</row>
    <row r="438" spans="1:64" s="91" customFormat="1" ht="42.75" customHeight="1">
      <c r="A438" s="303" t="s">
        <v>1494</v>
      </c>
      <c r="B438" s="93" t="s">
        <v>1495</v>
      </c>
      <c r="C438" s="186">
        <f>"https://aaafoundation.org/2019-forum-impact-vehicle-technologies-automation-users-design-safety-implications/"</f>
        <v>0</v>
      </c>
      <c r="D438" s="95" t="s">
        <v>760</v>
      </c>
      <c r="E438" s="109" t="s">
        <v>1489</v>
      </c>
      <c r="F438" s="95" t="s">
        <v>1496</v>
      </c>
      <c r="G438" s="96" t="s">
        <v>1497</v>
      </c>
      <c r="H438" s="97"/>
      <c r="I438" s="385">
        <f>"Joanne But"</f>
        <v>0</v>
      </c>
      <c r="J438" s="257"/>
      <c r="K438" s="100">
        <f>"mailto:jbut@aaafoundation.org"</f>
        <v>0</v>
      </c>
      <c r="L438" s="101"/>
      <c r="M438" s="122"/>
      <c r="N438" s="274"/>
      <c r="O438" s="104"/>
      <c r="P438" s="95"/>
      <c r="Q438" s="105" t="s">
        <v>72</v>
      </c>
      <c r="R438" s="115" t="s">
        <v>73</v>
      </c>
      <c r="S438" s="11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</row>
    <row r="439" spans="1:64" s="91" customFormat="1" ht="76.5" customHeight="1">
      <c r="A439" s="303"/>
      <c r="B439" s="93"/>
      <c r="C439" s="186"/>
      <c r="D439" s="95"/>
      <c r="E439" s="109"/>
      <c r="F439" s="95"/>
      <c r="G439" s="304">
        <f>"2018&amp;rsquo;s report: https://aaafoundation.org/2018-forum-on-the-impact-of-vehicle-technologies-and-automation-on-vulnerable-road-users-and-driver-behavior-and-performance-a-summary-report/"</f>
        <v>0</v>
      </c>
      <c r="H439" s="97"/>
      <c r="I439" s="385"/>
      <c r="J439" s="257"/>
      <c r="K439" s="100"/>
      <c r="L439" s="101"/>
      <c r="M439" s="122"/>
      <c r="N439" s="274"/>
      <c r="O439" s="104"/>
      <c r="P439" s="95"/>
      <c r="Q439" s="105"/>
      <c r="R439" s="115"/>
      <c r="S439" s="11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</row>
    <row r="440" spans="1:64" s="91" customFormat="1" ht="51.75" customHeight="1">
      <c r="A440" s="303"/>
      <c r="B440" s="93"/>
      <c r="C440" s="94">
        <f>"Alt. Page:  http://www.trb.org/Calendar/Blurbs/177394.aspx"</f>
        <v>0</v>
      </c>
      <c r="D440" s="95"/>
      <c r="E440" s="109"/>
      <c r="F440" s="95"/>
      <c r="G440" s="304">
        <f>"2017&amp;rsquo;s report: https://aaafoundation.org/2017-forum-impact-vehicle-technologies-automation-users-summary-report/"</f>
        <v>0</v>
      </c>
      <c r="H440" s="97"/>
      <c r="I440" s="385"/>
      <c r="J440" s="257"/>
      <c r="K440" s="100"/>
      <c r="L440" s="101"/>
      <c r="M440" s="122"/>
      <c r="N440" s="274"/>
      <c r="O440" s="104"/>
      <c r="P440" s="95"/>
      <c r="Q440" s="105"/>
      <c r="R440" s="115"/>
      <c r="S440" s="11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</row>
    <row r="441" spans="1:64" s="91" customFormat="1" ht="61.5" customHeight="1">
      <c r="A441" s="92" t="s">
        <v>422</v>
      </c>
      <c r="B441" s="93" t="s">
        <v>1498</v>
      </c>
      <c r="C441" s="94">
        <f>"https://www.sae.org/learn/content/c0626/"</f>
        <v>0</v>
      </c>
      <c r="D441" s="95" t="s">
        <v>76</v>
      </c>
      <c r="E441" s="109" t="s">
        <v>1499</v>
      </c>
      <c r="F441" s="95" t="s">
        <v>425</v>
      </c>
      <c r="G441" s="304" t="s">
        <v>1500</v>
      </c>
      <c r="H441" s="145" t="s">
        <v>427</v>
      </c>
      <c r="I441" s="98"/>
      <c r="J441" s="268"/>
      <c r="K441" s="100"/>
      <c r="L441" s="386" t="s">
        <v>420</v>
      </c>
      <c r="M441" s="102" t="s">
        <v>238</v>
      </c>
      <c r="N441" s="247"/>
      <c r="O441" s="104" t="s">
        <v>83</v>
      </c>
      <c r="P441" s="95">
        <f>"https://www.sae.org/learn/professional-development"</f>
        <v>0</v>
      </c>
      <c r="Q441" s="105" t="s">
        <v>72</v>
      </c>
      <c r="R441" s="115" t="s">
        <v>73</v>
      </c>
      <c r="S441" s="11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</row>
    <row r="442" spans="1:64" s="91" customFormat="1" ht="61.5" customHeight="1">
      <c r="A442" s="92" t="s">
        <v>1501</v>
      </c>
      <c r="B442" s="93" t="s">
        <v>1502</v>
      </c>
      <c r="C442" s="94">
        <f>"https://www.sae.org/learn/content/c1872/"</f>
        <v>0</v>
      </c>
      <c r="D442" s="95" t="s">
        <v>76</v>
      </c>
      <c r="E442" s="109" t="s">
        <v>1499</v>
      </c>
      <c r="F442" s="95" t="s">
        <v>1503</v>
      </c>
      <c r="G442" s="304" t="s">
        <v>1504</v>
      </c>
      <c r="H442" s="145" t="s">
        <v>1505</v>
      </c>
      <c r="I442" s="98"/>
      <c r="J442" s="268"/>
      <c r="K442" s="100"/>
      <c r="L442" s="386" t="s">
        <v>420</v>
      </c>
      <c r="M442" s="102" t="s">
        <v>238</v>
      </c>
      <c r="N442" s="247"/>
      <c r="O442" s="104" t="s">
        <v>83</v>
      </c>
      <c r="P442" s="95" t="s">
        <v>1437</v>
      </c>
      <c r="Q442" s="105" t="s">
        <v>72</v>
      </c>
      <c r="R442" s="115" t="s">
        <v>73</v>
      </c>
      <c r="S442" s="11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</row>
    <row r="443" spans="1:64" s="91" customFormat="1" ht="47.25" customHeight="1">
      <c r="A443" s="92" t="s">
        <v>1506</v>
      </c>
      <c r="B443" s="93" t="s">
        <v>1507</v>
      </c>
      <c r="C443" s="94" t="s">
        <v>1508</v>
      </c>
      <c r="D443" s="95" t="s">
        <v>1509</v>
      </c>
      <c r="E443" s="109" t="s">
        <v>1510</v>
      </c>
      <c r="F443" s="95" t="s">
        <v>1511</v>
      </c>
      <c r="G443" s="304" t="s">
        <v>1512</v>
      </c>
      <c r="H443" s="152"/>
      <c r="I443" s="98"/>
      <c r="J443" s="268"/>
      <c r="K443" s="100">
        <f>"https://www.intertraffic.com/contact/"</f>
        <v>0</v>
      </c>
      <c r="L443" s="386">
        <f>"Exhibitor&amp;rsquo;s info:  https://www.intertraffic.com/en/indonesia/exhibiting"</f>
        <v>0</v>
      </c>
      <c r="M443" s="102"/>
      <c r="N443" s="247"/>
      <c r="O443" s="104" t="s">
        <v>365</v>
      </c>
      <c r="P443" s="95" t="s">
        <v>1513</v>
      </c>
      <c r="Q443" s="105" t="s">
        <v>72</v>
      </c>
      <c r="R443" s="115" t="s">
        <v>73</v>
      </c>
      <c r="S443" s="11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</row>
    <row r="444" spans="1:64" s="91" customFormat="1" ht="68.25" customHeight="1">
      <c r="A444" s="331" t="s">
        <v>1261</v>
      </c>
      <c r="B444" s="93" t="s">
        <v>1262</v>
      </c>
      <c r="C444" s="94">
        <f>"https://register.gotowebinar.com/register/4415466473565758211"</f>
        <v>0</v>
      </c>
      <c r="D444" s="197"/>
      <c r="E444" s="109" t="s">
        <v>1514</v>
      </c>
      <c r="F444" s="197" t="s">
        <v>1149</v>
      </c>
      <c r="G444" s="304">
        <f>"Battery Intelligence Systems (BIS) can enable accelerated development cycles and time to market."</f>
        <v>0</v>
      </c>
      <c r="H444" s="277" t="s">
        <v>1150</v>
      </c>
      <c r="I444" s="98"/>
      <c r="J444" s="268"/>
      <c r="K444" s="100"/>
      <c r="L444" s="113"/>
      <c r="M444" s="102"/>
      <c r="N444" s="278"/>
      <c r="O444" s="183" t="s">
        <v>99</v>
      </c>
      <c r="P444" s="279" t="s">
        <v>829</v>
      </c>
      <c r="Q444" s="297" t="s">
        <v>72</v>
      </c>
      <c r="R444" s="115" t="s">
        <v>73</v>
      </c>
      <c r="S444" s="11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</row>
    <row r="445" spans="1:64" s="91" customFormat="1" ht="61.5" customHeight="1">
      <c r="A445" s="92" t="s">
        <v>1515</v>
      </c>
      <c r="B445" s="93" t="s">
        <v>1516</v>
      </c>
      <c r="C445" s="94">
        <f>"https://www.njtransit.com/var/var_servlet.srv?hdnPageAction=NJTInnovationChallengeTo"</f>
        <v>0</v>
      </c>
      <c r="D445" s="95" t="s">
        <v>1517</v>
      </c>
      <c r="E445" s="109" t="s">
        <v>1480</v>
      </c>
      <c r="F445" s="95" t="s">
        <v>1518</v>
      </c>
      <c r="G445" s="304">
        <f>"How would you move a stadium's worth of people seamlessly and continuously between [a rail] Station &amp;hellip; and [a] Stadium &amp;hellip; seven miles away?"</f>
        <v>0</v>
      </c>
      <c r="H445" s="152"/>
      <c r="I445" s="98"/>
      <c r="J445" s="268"/>
      <c r="K445" s="100"/>
      <c r="L445" s="386" t="s">
        <v>1519</v>
      </c>
      <c r="M445" s="102"/>
      <c r="N445" s="247"/>
      <c r="O445" s="104"/>
      <c r="P445" s="95"/>
      <c r="Q445" s="105" t="s">
        <v>54</v>
      </c>
      <c r="R445" s="106" t="s">
        <v>55</v>
      </c>
      <c r="S445" s="11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</row>
    <row r="446" spans="1:64" s="91" customFormat="1" ht="61.5" customHeight="1">
      <c r="A446" s="124" t="s">
        <v>428</v>
      </c>
      <c r="B446" s="124" t="s">
        <v>1520</v>
      </c>
      <c r="C446" s="202">
        <f>"https://www.sae.org/learn/content/c1019/"</f>
        <v>0</v>
      </c>
      <c r="D446" s="202" t="s">
        <v>76</v>
      </c>
      <c r="E446" s="128" t="s">
        <v>1480</v>
      </c>
      <c r="F446" s="95" t="s">
        <v>425</v>
      </c>
      <c r="G446" s="203" t="s">
        <v>431</v>
      </c>
      <c r="H446" s="130" t="s">
        <v>427</v>
      </c>
      <c r="I446" s="98"/>
      <c r="J446" s="268"/>
      <c r="K446" s="100"/>
      <c r="L446" s="113" t="s">
        <v>322</v>
      </c>
      <c r="M446" s="358" t="s">
        <v>144</v>
      </c>
      <c r="N446" s="247"/>
      <c r="O446" s="104" t="s">
        <v>83</v>
      </c>
      <c r="P446" s="95">
        <f>"https://www.sae.org/learn/professional-development"</f>
        <v>0</v>
      </c>
      <c r="Q446" s="105" t="s">
        <v>72</v>
      </c>
      <c r="R446" s="115" t="s">
        <v>73</v>
      </c>
      <c r="S446" s="11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</row>
    <row r="447" spans="1:64" s="91" customFormat="1" ht="100.5" customHeight="1">
      <c r="A447" s="124" t="s">
        <v>1521</v>
      </c>
      <c r="B447" s="124" t="s">
        <v>1522</v>
      </c>
      <c r="C447" s="202">
        <f>"https://www.sae.org/learn/content/c1603/"</f>
        <v>0</v>
      </c>
      <c r="D447" s="202" t="s">
        <v>76</v>
      </c>
      <c r="E447" s="128" t="s">
        <v>1523</v>
      </c>
      <c r="F447" s="95" t="s">
        <v>1524</v>
      </c>
      <c r="G447" s="203" t="s">
        <v>1525</v>
      </c>
      <c r="H447" s="130" t="s">
        <v>1526</v>
      </c>
      <c r="I447" s="98"/>
      <c r="J447" s="268"/>
      <c r="K447" s="100"/>
      <c r="L447" s="113" t="s">
        <v>1527</v>
      </c>
      <c r="M447" s="358" t="s">
        <v>238</v>
      </c>
      <c r="N447" s="247"/>
      <c r="O447" s="104" t="s">
        <v>83</v>
      </c>
      <c r="P447" s="95" t="s">
        <v>1437</v>
      </c>
      <c r="Q447" s="105" t="s">
        <v>72</v>
      </c>
      <c r="R447" s="115" t="s">
        <v>73</v>
      </c>
      <c r="S447" s="11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</row>
    <row r="448" spans="1:64" s="91" customFormat="1" ht="38.25" customHeight="1">
      <c r="A448" s="205" t="s">
        <v>1528</v>
      </c>
      <c r="B448" s="206" t="s">
        <v>1529</v>
      </c>
      <c r="C448" s="207">
        <f>"https://www.intertraffic.com/en/mexico/"</f>
        <v>0</v>
      </c>
      <c r="D448" s="155" t="s">
        <v>1530</v>
      </c>
      <c r="E448" s="128" t="s">
        <v>1531</v>
      </c>
      <c r="F448" s="155" t="s">
        <v>1532</v>
      </c>
      <c r="G448" s="209" t="s">
        <v>1533</v>
      </c>
      <c r="H448" s="210"/>
      <c r="I448" s="98"/>
      <c r="J448" s="268"/>
      <c r="K448" s="100">
        <f>"https://www.intertraffic.com/contact/"</f>
        <v>0</v>
      </c>
      <c r="L448" s="214">
        <f>"Exhibitor&amp;rsquo;s info: https://www.intertraffic.com/en/mexico/exhibiting/"</f>
        <v>0</v>
      </c>
      <c r="M448" s="358"/>
      <c r="N448" s="345"/>
      <c r="O448" s="211" t="s">
        <v>365</v>
      </c>
      <c r="P448" s="299">
        <f>"https://www.intertraffic.com/"</f>
        <v>0</v>
      </c>
      <c r="Q448" s="213" t="s">
        <v>72</v>
      </c>
      <c r="R448" s="215" t="s">
        <v>73</v>
      </c>
      <c r="S448" s="11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</row>
    <row r="449" spans="1:64" s="91" customFormat="1" ht="26.25" customHeight="1">
      <c r="A449" s="387" t="s">
        <v>1534</v>
      </c>
      <c r="B449" s="93" t="s">
        <v>1535</v>
      </c>
      <c r="C449" s="186">
        <f>"Series page:  http://www.sbirroadtour.com/"</f>
        <v>0</v>
      </c>
      <c r="D449" s="95"/>
      <c r="E449" s="109" t="s">
        <v>1536</v>
      </c>
      <c r="F449" s="95" t="s">
        <v>537</v>
      </c>
      <c r="G449" s="96" t="s">
        <v>538</v>
      </c>
      <c r="H449" s="97"/>
      <c r="I449" s="98"/>
      <c r="J449" s="268"/>
      <c r="K449" s="100"/>
      <c r="L449" s="271" t="s">
        <v>539</v>
      </c>
      <c r="M449" s="272" t="s">
        <v>540</v>
      </c>
      <c r="N449" s="273" t="s">
        <v>541</v>
      </c>
      <c r="O449" s="265" t="s">
        <v>542</v>
      </c>
      <c r="P449" s="95">
        <f>"https://www.sba.gov/"</f>
        <v>0</v>
      </c>
      <c r="Q449" s="266" t="s">
        <v>72</v>
      </c>
      <c r="R449" s="267" t="s">
        <v>73</v>
      </c>
      <c r="S449" s="11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</row>
    <row r="450" spans="1:64" s="91" customFormat="1" ht="42.75" customHeight="1">
      <c r="A450" s="387"/>
      <c r="B450" s="93"/>
      <c r="C450" s="186"/>
      <c r="D450" s="95" t="s">
        <v>1537</v>
      </c>
      <c r="E450" s="109" t="s">
        <v>1538</v>
      </c>
      <c r="F450" s="95"/>
      <c r="G450" s="96"/>
      <c r="H450" s="97"/>
      <c r="I450" s="98" t="s">
        <v>1539</v>
      </c>
      <c r="J450" s="268"/>
      <c r="K450" s="100">
        <f>"mailto:w.silverman@miami.edu"</f>
        <v>0</v>
      </c>
      <c r="L450" s="101">
        <f>"University of Miami, U Innovation:  https://innovation.miami.edu/"</f>
        <v>0</v>
      </c>
      <c r="M450" s="102">
        <f>"https://events.attend.com/f/1383790514"</f>
        <v>0</v>
      </c>
      <c r="N450" s="103">
        <f>"https://events.attend.com/f/1383790514#/reg/0"</f>
        <v>0</v>
      </c>
      <c r="O450" s="265"/>
      <c r="P450" s="95"/>
      <c r="Q450" s="266"/>
      <c r="R450" s="267"/>
      <c r="S450" s="11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</row>
    <row r="451" spans="1:64" s="91" customFormat="1" ht="33" customHeight="1">
      <c r="A451" s="387"/>
      <c r="B451" s="93"/>
      <c r="C451" s="186">
        <f>"Schedule page:  http://www.sbirroadtour.com/dates.php"</f>
        <v>0</v>
      </c>
      <c r="D451" s="95" t="s">
        <v>1540</v>
      </c>
      <c r="E451" s="109" t="s">
        <v>1541</v>
      </c>
      <c r="F451" s="95"/>
      <c r="G451" s="96"/>
      <c r="H451" s="97"/>
      <c r="I451" s="98" t="s">
        <v>1542</v>
      </c>
      <c r="J451" s="268"/>
      <c r="K451" s="100">
        <f>"mailto:drodriguez@prsciencetrust.org"</f>
        <v>0</v>
      </c>
      <c r="L451" s="101">
        <f>"Puerto Rico Science, Technology and Research Trust:   https://prsciencetrust.org/"</f>
        <v>0</v>
      </c>
      <c r="M451" s="262">
        <f>"https://www.eventbrite.com/e/2019-sbir-road-tour-puerto-rico-tickets-65854627965"</f>
        <v>0</v>
      </c>
      <c r="N451" s="148"/>
      <c r="O451" s="265"/>
      <c r="P451" s="95"/>
      <c r="Q451" s="266"/>
      <c r="R451" s="267"/>
      <c r="S451" s="11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</row>
    <row r="452" spans="1:64" s="91" customFormat="1" ht="51.75" customHeight="1">
      <c r="A452" s="387"/>
      <c r="B452" s="93"/>
      <c r="C452" s="186"/>
      <c r="D452" s="95"/>
      <c r="E452" s="95"/>
      <c r="F452" s="95"/>
      <c r="G452" s="96"/>
      <c r="H452" s="97"/>
      <c r="I452" s="98"/>
      <c r="J452" s="268"/>
      <c r="K452" s="100"/>
      <c r="L452" s="101">
        <f>"SBA&amp;rsquo;s Puerto Rico &amp; US Virgin Islands District Office:   https://www.sba.gov/offices/district/pr/san-juan"</f>
        <v>0</v>
      </c>
      <c r="M452" s="262"/>
      <c r="N452" s="148"/>
      <c r="O452" s="265"/>
      <c r="P452" s="95"/>
      <c r="Q452" s="266"/>
      <c r="R452" s="267"/>
      <c r="S452" s="11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</row>
    <row r="453" spans="1:64" s="91" customFormat="1" ht="30" customHeight="1">
      <c r="A453" s="303" t="s">
        <v>1543</v>
      </c>
      <c r="B453" s="93" t="s">
        <v>1544</v>
      </c>
      <c r="C453" s="94">
        <f>"http://www.setc-jsae.com/"</f>
        <v>0</v>
      </c>
      <c r="D453" s="197" t="s">
        <v>1545</v>
      </c>
      <c r="E453" s="109" t="s">
        <v>1546</v>
      </c>
      <c r="F453" s="197" t="s">
        <v>1547</v>
      </c>
      <c r="G453" s="295" t="s">
        <v>1548</v>
      </c>
      <c r="H453" s="97"/>
      <c r="I453" s="180"/>
      <c r="J453" s="388"/>
      <c r="K453" s="356"/>
      <c r="L453" s="261">
        <f>"http://www.setc-jsae.com/2019docs/call_for_paper2019.pdf"</f>
        <v>0</v>
      </c>
      <c r="M453" s="122"/>
      <c r="N453" s="103" t="s">
        <v>1549</v>
      </c>
      <c r="O453" s="104" t="s">
        <v>53</v>
      </c>
      <c r="P453" s="197">
        <f>"https://www.sae.org/attend/"</f>
        <v>0</v>
      </c>
      <c r="Q453" s="297" t="s">
        <v>54</v>
      </c>
      <c r="R453" s="115" t="s">
        <v>73</v>
      </c>
      <c r="S453" s="11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</row>
    <row r="454" spans="1:64" s="91" customFormat="1" ht="44.25" customHeight="1">
      <c r="A454" s="303"/>
      <c r="B454" s="93"/>
      <c r="C454" s="94">
        <f>"detail page:  http://www.setc-jsae.com/conf_detail.html"</f>
        <v>0</v>
      </c>
      <c r="D454" s="197"/>
      <c r="E454" s="109" t="s">
        <v>1550</v>
      </c>
      <c r="F454" s="197"/>
      <c r="G454" s="295"/>
      <c r="H454" s="97"/>
      <c r="I454" s="180"/>
      <c r="J454" s="388"/>
      <c r="K454" s="356"/>
      <c r="L454" s="261"/>
      <c r="M454" s="122"/>
      <c r="N454" s="103"/>
      <c r="O454" s="104"/>
      <c r="P454" s="197"/>
      <c r="Q454" s="297"/>
      <c r="R454" s="115"/>
      <c r="S454" s="11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</row>
    <row r="455" spans="1:64" s="91" customFormat="1" ht="55.5" customHeight="1">
      <c r="A455" s="303" t="s">
        <v>1551</v>
      </c>
      <c r="B455" s="93" t="s">
        <v>1552</v>
      </c>
      <c r="C455" s="94">
        <f>"http://www.smartmobilitycongress.com/en/home"</f>
        <v>0</v>
      </c>
      <c r="D455" s="197" t="s">
        <v>1553</v>
      </c>
      <c r="E455" s="109" t="s">
        <v>1546</v>
      </c>
      <c r="F455" s="197" t="s">
        <v>1554</v>
      </c>
      <c r="G455" s="295" t="s">
        <v>1555</v>
      </c>
      <c r="H455" s="97"/>
      <c r="I455" s="98"/>
      <c r="J455" s="268"/>
      <c r="K455" s="100"/>
      <c r="L455" s="261"/>
      <c r="M455" s="122"/>
      <c r="N455" s="103"/>
      <c r="O455" s="104" t="s">
        <v>1556</v>
      </c>
      <c r="P455" s="197">
        <f>"https://hub.beesmart.city/smart-city-events"</f>
        <v>0</v>
      </c>
      <c r="Q455" s="297" t="s">
        <v>72</v>
      </c>
      <c r="R455" s="115" t="s">
        <v>73</v>
      </c>
      <c r="S455" s="11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</row>
    <row r="456" spans="1:64" s="91" customFormat="1" ht="55.5" customHeight="1">
      <c r="A456" s="303"/>
      <c r="B456" s="303"/>
      <c r="C456" s="94">
        <f>"http://stars-h2020.eu/event/smart-city-expo-smart-mobility-congress-in-barcelona/"</f>
        <v>0</v>
      </c>
      <c r="D456" s="197"/>
      <c r="E456" s="109"/>
      <c r="F456" s="197"/>
      <c r="G456" s="295"/>
      <c r="H456" s="97"/>
      <c r="I456" s="98"/>
      <c r="J456" s="268"/>
      <c r="K456" s="100"/>
      <c r="L456" s="261"/>
      <c r="M456" s="122"/>
      <c r="N456" s="103"/>
      <c r="O456" s="104"/>
      <c r="P456" s="197"/>
      <c r="Q456" s="297"/>
      <c r="R456" s="115"/>
      <c r="S456" s="11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</row>
    <row r="457" spans="1:64" s="91" customFormat="1" ht="20.25" customHeight="1">
      <c r="A457" s="92" t="s">
        <v>1557</v>
      </c>
      <c r="B457" s="92" t="s">
        <v>1558</v>
      </c>
      <c r="C457" s="92">
        <f>"https://favsummit.com/"</f>
        <v>0</v>
      </c>
      <c r="D457" s="92" t="s">
        <v>1537</v>
      </c>
      <c r="E457" s="389">
        <f>"2019/11/20 – 22"</f>
        <v>0</v>
      </c>
      <c r="F457" s="92" t="s">
        <v>1559</v>
      </c>
      <c r="G457" s="295" t="s">
        <v>1560</v>
      </c>
      <c r="H457" s="97"/>
      <c r="I457" s="98"/>
      <c r="J457" s="268"/>
      <c r="K457" s="100">
        <f>"mailto:info@favsummit.com"</f>
        <v>0</v>
      </c>
      <c r="L457" s="101">
        <f>"Draft Agenda (obs?):  https://favsummit.com/2019-agenda/"</f>
        <v>0</v>
      </c>
      <c r="M457" s="101"/>
      <c r="N457" s="101"/>
      <c r="O457" s="104" t="s">
        <v>71</v>
      </c>
      <c r="P457" s="95" t="s">
        <v>267</v>
      </c>
      <c r="Q457" s="105" t="s">
        <v>72</v>
      </c>
      <c r="R457" s="115" t="s">
        <v>73</v>
      </c>
      <c r="S457" s="11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</row>
    <row r="458" spans="1:19" s="91" customFormat="1" ht="36.75" customHeight="1">
      <c r="A458" s="92"/>
      <c r="B458" s="92"/>
      <c r="C458" s="92"/>
      <c r="D458" s="92"/>
      <c r="E458" s="92"/>
      <c r="F458" s="92"/>
      <c r="G458" s="295"/>
      <c r="H458" s="97"/>
      <c r="I458" s="390">
        <f>"Contact Page with Map:  https://favsummit.com/contact/"</f>
        <v>0</v>
      </c>
      <c r="J458" s="390"/>
      <c r="K458" s="390"/>
      <c r="L458" s="101">
        <f>"Exhibitor/Demonstrator/Sponsor Prospectus:  https://favsummit.com/wp-content/uploads/2019-FAV-Prospectus-1-1.pdf"</f>
        <v>0</v>
      </c>
      <c r="M458" s="101"/>
      <c r="N458" s="101"/>
      <c r="O458" s="104"/>
      <c r="P458" s="95"/>
      <c r="Q458" s="105"/>
      <c r="R458" s="115"/>
      <c r="S458" s="107"/>
    </row>
    <row r="459" spans="1:18" ht="21" customHeight="1">
      <c r="A459" s="92"/>
      <c r="B459" s="92"/>
      <c r="C459" s="92"/>
      <c r="D459" s="92"/>
      <c r="E459" s="92"/>
      <c r="F459" s="92"/>
      <c r="G459" s="295"/>
      <c r="H459" s="97"/>
      <c r="I459" s="391">
        <f>"Receive updates:  https://favsummit.com/sign-favsummit-2018-newsletter/"</f>
        <v>0</v>
      </c>
      <c r="J459" s="391"/>
      <c r="K459" s="391"/>
      <c r="L459" s="101">
        <f>"Info. page:  https://favsummit.com/wp-content/uploads/2019_favsummit-2.pdf"</f>
        <v>0</v>
      </c>
      <c r="M459" s="101"/>
      <c r="N459" s="101"/>
      <c r="O459" s="104"/>
      <c r="P459" s="95"/>
      <c r="Q459" s="105"/>
      <c r="R459" s="115"/>
    </row>
    <row r="460" spans="1:18" ht="27" customHeight="1">
      <c r="A460" s="92"/>
      <c r="B460" s="92"/>
      <c r="C460" s="92"/>
      <c r="D460" s="92"/>
      <c r="E460" s="92"/>
      <c r="F460" s="92"/>
      <c r="G460" s="295"/>
      <c r="H460" s="97"/>
      <c r="I460" s="391"/>
      <c r="J460" s="391"/>
      <c r="K460" s="391"/>
      <c r="L460" s="101">
        <f>"Article by Jeff Brandes:  https://floridapolitics.com/archives/282227-jeff-brandes-5-takeaways-from-autonomous-vehicle-summit"</f>
        <v>0</v>
      </c>
      <c r="M460" s="101"/>
      <c r="N460" s="101"/>
      <c r="O460" s="104"/>
      <c r="P460" s="95"/>
      <c r="Q460" s="105"/>
      <c r="R460" s="115"/>
    </row>
    <row r="461" spans="1:64" s="91" customFormat="1" ht="38.25" customHeight="1">
      <c r="A461" s="303" t="s">
        <v>1561</v>
      </c>
      <c r="B461" s="93" t="s">
        <v>1562</v>
      </c>
      <c r="C461" s="94">
        <f>"http://www.thefutureoftransportconference.com/en/"</f>
        <v>0</v>
      </c>
      <c r="D461" s="197" t="s">
        <v>1563</v>
      </c>
      <c r="E461" s="253" t="s">
        <v>1564</v>
      </c>
      <c r="F461" s="95" t="s">
        <v>1565</v>
      </c>
      <c r="G461" s="295" t="s">
        <v>1566</v>
      </c>
      <c r="H461" s="145"/>
      <c r="I461" s="98"/>
      <c r="J461" s="268"/>
      <c r="K461" s="189">
        <f>"http://www.thefutureoftransportconference.com/en/contact-us.php"</f>
        <v>0</v>
      </c>
      <c r="L461" s="261">
        <f>"https://www.thefutureoftransportconference.com/en/call-for-papers.php"</f>
        <v>0</v>
      </c>
      <c r="M461" s="262">
        <f>"https://www.thefutureoftransportconference.com/en/submit-proposal.php"</f>
        <v>0</v>
      </c>
      <c r="N461" s="103" t="s">
        <v>1567</v>
      </c>
      <c r="O461" s="265" t="s">
        <v>1568</v>
      </c>
      <c r="P461" s="197">
        <f>"https://www.itf-oecd.org/"</f>
        <v>0</v>
      </c>
      <c r="Q461" s="266" t="s">
        <v>72</v>
      </c>
      <c r="R461" s="267" t="s">
        <v>73</v>
      </c>
      <c r="S461" s="11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</row>
    <row r="462" spans="1:64" ht="38.25" customHeight="1">
      <c r="A462" s="303"/>
      <c r="B462" s="93"/>
      <c r="C462" s="337">
        <f>"https://www.itf-oecd.org/future-transportation-world-conference-2019"</f>
        <v>0</v>
      </c>
      <c r="D462" s="197"/>
      <c r="E462" s="197"/>
      <c r="F462" s="197" t="s">
        <v>1569</v>
      </c>
      <c r="G462" s="295"/>
      <c r="H462" s="145"/>
      <c r="I462" s="98"/>
      <c r="J462" s="268"/>
      <c r="K462" s="189"/>
      <c r="L462" s="261"/>
      <c r="M462" s="262"/>
      <c r="N462" s="103"/>
      <c r="O462" s="265"/>
      <c r="P462" s="197"/>
      <c r="Q462" s="266"/>
      <c r="R462" s="267"/>
      <c r="S462" s="11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</row>
    <row r="463" spans="1:64" s="91" customFormat="1" ht="58.5" customHeight="1">
      <c r="A463" s="124" t="s">
        <v>341</v>
      </c>
      <c r="B463" s="124" t="s">
        <v>1570</v>
      </c>
      <c r="C463" s="202">
        <f>"https://www.sae.org/learn/content/acad06/"</f>
        <v>0</v>
      </c>
      <c r="D463" s="202" t="s">
        <v>76</v>
      </c>
      <c r="E463" s="128" t="s">
        <v>1571</v>
      </c>
      <c r="F463" s="150" t="s">
        <v>344</v>
      </c>
      <c r="G463" s="203" t="s">
        <v>345</v>
      </c>
      <c r="H463" s="130" t="s">
        <v>349</v>
      </c>
      <c r="I463" s="98"/>
      <c r="J463" s="268"/>
      <c r="K463" s="100"/>
      <c r="L463" s="101" t="s">
        <v>1572</v>
      </c>
      <c r="M463" s="102" t="s">
        <v>347</v>
      </c>
      <c r="N463" s="136" t="s">
        <v>348</v>
      </c>
      <c r="O463" s="104" t="s">
        <v>83</v>
      </c>
      <c r="P463" s="197">
        <f>"https://www.sae.org/learn/professional-development"</f>
        <v>0</v>
      </c>
      <c r="Q463" s="297" t="s">
        <v>72</v>
      </c>
      <c r="R463" s="115" t="s">
        <v>73</v>
      </c>
      <c r="S463" s="11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</row>
    <row r="464" spans="1:64" s="91" customFormat="1" ht="52.5" customHeight="1">
      <c r="A464" s="124" t="s">
        <v>1573</v>
      </c>
      <c r="B464" s="124" t="s">
        <v>1574</v>
      </c>
      <c r="C464" s="202">
        <f>"http://www.ieee-vnc.org/"</f>
        <v>0</v>
      </c>
      <c r="D464" s="202" t="s">
        <v>813</v>
      </c>
      <c r="E464" s="128" t="s">
        <v>1575</v>
      </c>
      <c r="F464" s="150" t="s">
        <v>1576</v>
      </c>
      <c r="G464" s="203" t="s">
        <v>1577</v>
      </c>
      <c r="H464" s="130"/>
      <c r="I464" s="98"/>
      <c r="J464" s="268"/>
      <c r="K464" s="100"/>
      <c r="L464" s="101"/>
      <c r="M464" s="102"/>
      <c r="N464" s="136"/>
      <c r="O464" s="104" t="s">
        <v>373</v>
      </c>
      <c r="P464" s="197" t="s">
        <v>374</v>
      </c>
      <c r="Q464" s="297" t="s">
        <v>72</v>
      </c>
      <c r="R464" s="115" t="s">
        <v>73</v>
      </c>
      <c r="S464" s="11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</row>
    <row r="465" spans="1:64" s="91" customFormat="1" ht="51.75" customHeight="1">
      <c r="A465" s="92" t="s">
        <v>1578</v>
      </c>
      <c r="B465" s="124" t="s">
        <v>1579</v>
      </c>
      <c r="C465" s="202">
        <f>"https://avere.org/event/millenials-zero-emission-transport/?instance_id=32"</f>
        <v>0</v>
      </c>
      <c r="D465" s="202" t="s">
        <v>283</v>
      </c>
      <c r="E465" s="128" t="s">
        <v>1580</v>
      </c>
      <c r="F465" s="150" t="s">
        <v>1581</v>
      </c>
      <c r="G465" s="203" t="s">
        <v>1582</v>
      </c>
      <c r="H465" s="130"/>
      <c r="I465" s="98"/>
      <c r="J465" s="268"/>
      <c r="K465" s="100"/>
      <c r="L465" s="101">
        <f>"Registration:  https://www.eventbrite.com/e/millennials-and-zero-emission-transport-tickets-77129840429"</f>
        <v>0</v>
      </c>
      <c r="M465" s="102"/>
      <c r="N465" s="136"/>
      <c r="O465" s="104" t="s">
        <v>258</v>
      </c>
      <c r="P465" s="197" t="s">
        <v>259</v>
      </c>
      <c r="Q465" s="297" t="s">
        <v>72</v>
      </c>
      <c r="R465" s="115" t="s">
        <v>73</v>
      </c>
      <c r="S465" s="11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</row>
    <row r="466" spans="1:64" s="91" customFormat="1" ht="51.75" customHeight="1">
      <c r="A466" s="92" t="s">
        <v>1583</v>
      </c>
      <c r="B466" s="124" t="s">
        <v>1584</v>
      </c>
      <c r="C466" s="202">
        <f>"https://teslasciencecenter.org/events/holiday-lighting-at-wardenclyffe/"</f>
        <v>0</v>
      </c>
      <c r="D466" s="202" t="s">
        <v>774</v>
      </c>
      <c r="E466" s="128" t="s">
        <v>1585</v>
      </c>
      <c r="F466" s="150" t="s">
        <v>1586</v>
      </c>
      <c r="G466" s="203" t="s">
        <v>1587</v>
      </c>
      <c r="H466" s="130"/>
      <c r="I466" s="98"/>
      <c r="J466" s="268"/>
      <c r="K466" s="100"/>
      <c r="L466" s="101">
        <f>"Free Tickets:  https://teslasciencecenter.z2systems.com/np/clients/teslasciencecenter/eventRegistration.jsp?event=313&amp;"</f>
        <v>0</v>
      </c>
      <c r="M466" s="102"/>
      <c r="N466" s="136"/>
      <c r="O466" s="104" t="s">
        <v>209</v>
      </c>
      <c r="P466" s="197" t="s">
        <v>642</v>
      </c>
      <c r="Q466" s="297" t="s">
        <v>108</v>
      </c>
      <c r="R466" s="106" t="s">
        <v>109</v>
      </c>
      <c r="S466" s="11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</row>
    <row r="467" spans="1:64" s="91" customFormat="1" ht="25.5" customHeight="1">
      <c r="A467" s="125" t="s">
        <v>1588</v>
      </c>
      <c r="B467" s="197">
        <f>"CTnext"</f>
        <v>0</v>
      </c>
      <c r="C467" s="197">
        <f>"https://attendee.gototraining.com/r/1297642926427687938"</f>
        <v>0</v>
      </c>
      <c r="D467" s="197"/>
      <c r="E467" s="109" t="s">
        <v>1589</v>
      </c>
      <c r="F467" s="197" t="s">
        <v>165</v>
      </c>
      <c r="G467" s="158" t="s">
        <v>1590</v>
      </c>
      <c r="H467" s="277" t="s">
        <v>1591</v>
      </c>
      <c r="I467" s="98" t="s">
        <v>1199</v>
      </c>
      <c r="J467" s="112" t="s">
        <v>1200</v>
      </c>
      <c r="K467" s="100">
        <f>"mailto:johnna.scott@ctnext.com"</f>
        <v>0</v>
      </c>
      <c r="L467" s="261"/>
      <c r="M467" s="122"/>
      <c r="N467" s="103"/>
      <c r="O467" s="104"/>
      <c r="P467" s="197"/>
      <c r="Q467" s="105" t="s">
        <v>72</v>
      </c>
      <c r="R467" s="115" t="s">
        <v>73</v>
      </c>
      <c r="S467" s="11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</row>
    <row r="468" spans="1:64" s="91" customFormat="1" ht="25.5" customHeight="1">
      <c r="A468" s="125"/>
      <c r="B468" s="197"/>
      <c r="C468" s="197"/>
      <c r="D468" s="197"/>
      <c r="E468" s="109"/>
      <c r="F468" s="197"/>
      <c r="G468" s="158"/>
      <c r="H468" s="277"/>
      <c r="I468" s="98" t="s">
        <v>1592</v>
      </c>
      <c r="J468" s="112"/>
      <c r="K468" s="100">
        <f>"mailto:kris@bbcetc.com"</f>
        <v>0</v>
      </c>
      <c r="L468" s="261"/>
      <c r="M468" s="122"/>
      <c r="N468" s="103"/>
      <c r="O468" s="104"/>
      <c r="P468" s="197"/>
      <c r="Q468" s="105"/>
      <c r="R468" s="115"/>
      <c r="S468" s="11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</row>
    <row r="469" spans="1:64" s="91" customFormat="1" ht="51" customHeight="1">
      <c r="A469" s="92" t="s">
        <v>317</v>
      </c>
      <c r="B469" s="93" t="s">
        <v>1593</v>
      </c>
      <c r="C469" s="94">
        <f>"https://www.sae.org/learn/content/c1602/"</f>
        <v>0</v>
      </c>
      <c r="D469" s="95" t="s">
        <v>76</v>
      </c>
      <c r="E469" s="109" t="s">
        <v>1594</v>
      </c>
      <c r="F469" s="95" t="s">
        <v>320</v>
      </c>
      <c r="G469" s="304" t="s">
        <v>321</v>
      </c>
      <c r="H469" s="145">
        <f>"Instructor:  Eric Timmis"</f>
        <v>0</v>
      </c>
      <c r="I469" s="98"/>
      <c r="J469" s="99"/>
      <c r="K469" s="100"/>
      <c r="L469" s="101" t="s">
        <v>1595</v>
      </c>
      <c r="M469" s="358" t="s">
        <v>144</v>
      </c>
      <c r="N469" s="345"/>
      <c r="O469" s="104" t="s">
        <v>83</v>
      </c>
      <c r="P469" s="95">
        <f>"https://www.sae.org/learn/professional-development"</f>
        <v>0</v>
      </c>
      <c r="Q469" s="105" t="s">
        <v>72</v>
      </c>
      <c r="R469" s="115" t="s">
        <v>73</v>
      </c>
      <c r="S469" s="11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</row>
    <row r="470" spans="1:64" s="91" customFormat="1" ht="34.5" customHeight="1">
      <c r="A470" s="303" t="s">
        <v>1596</v>
      </c>
      <c r="B470" s="93" t="s">
        <v>1597</v>
      </c>
      <c r="C470" s="177">
        <f>"http://www.itecindia-conf.com/"</f>
        <v>0</v>
      </c>
      <c r="D470" s="95" t="s">
        <v>1598</v>
      </c>
      <c r="E470" s="109" t="s">
        <v>1599</v>
      </c>
      <c r="F470" s="95" t="s">
        <v>471</v>
      </c>
      <c r="G470" s="295" t="s">
        <v>1600</v>
      </c>
      <c r="H470" s="97"/>
      <c r="I470" s="98"/>
      <c r="J470" s="112"/>
      <c r="K470" s="100">
        <f>"Contact info. on right sidebar:  http://www.itecindia-conf.com/conference-highlights.php"</f>
        <v>0</v>
      </c>
      <c r="L470" s="226">
        <f>"http://www.itecindia-conf.com/call-for-paper.php"</f>
        <v>0</v>
      </c>
      <c r="M470" s="262">
        <f>"https://cmt3.research.microsoft.com/User/Login?ReturnUrl=%2FITECINDIA2019"</f>
        <v>0</v>
      </c>
      <c r="N470" s="392">
        <f>"5-page digest due 2019/07/31, extended from 07/15 and 07/01"</f>
        <v>0</v>
      </c>
      <c r="O470" s="104" t="s">
        <v>1601</v>
      </c>
      <c r="P470" s="95">
        <f>"https://tec.ieee.org/conferences-workshops"</f>
        <v>0</v>
      </c>
      <c r="Q470" s="105" t="s">
        <v>72</v>
      </c>
      <c r="R470" s="115" t="s">
        <v>73</v>
      </c>
      <c r="S470" s="11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</row>
    <row r="471" spans="1:64" s="91" customFormat="1" ht="51" customHeight="1">
      <c r="A471" s="303"/>
      <c r="B471" s="93"/>
      <c r="C471" s="177">
        <f>"Highlights:  http://www.itecindia-conf.com/conference-highlights.php"</f>
        <v>0</v>
      </c>
      <c r="D471" s="95"/>
      <c r="E471" s="109"/>
      <c r="F471" s="95"/>
      <c r="G471" s="295"/>
      <c r="H471" s="97"/>
      <c r="I471" s="98"/>
      <c r="J471" s="112"/>
      <c r="K471" s="100"/>
      <c r="L471" s="226"/>
      <c r="M471" s="262"/>
      <c r="N471" s="392"/>
      <c r="O471" s="104"/>
      <c r="P471" s="95"/>
      <c r="Q471" s="105"/>
      <c r="R471" s="115"/>
      <c r="S471" s="393"/>
      <c r="T471" s="394"/>
      <c r="U471" s="394"/>
      <c r="V471" s="394"/>
      <c r="W471" s="394"/>
      <c r="X471" s="394"/>
      <c r="Y471" s="394"/>
      <c r="Z471" s="394"/>
      <c r="AA471" s="394"/>
      <c r="AB471" s="394"/>
      <c r="AC471" s="394"/>
      <c r="AD471" s="394"/>
      <c r="AE471" s="394"/>
      <c r="AF471" s="394"/>
      <c r="AG471" s="394"/>
      <c r="AH471" s="394"/>
      <c r="AI471" s="394"/>
      <c r="AJ471" s="394"/>
      <c r="AK471" s="394"/>
      <c r="AL471" s="394"/>
      <c r="AM471" s="394"/>
      <c r="AN471" s="394"/>
      <c r="AO471" s="394"/>
      <c r="AP471" s="394"/>
      <c r="AQ471" s="394"/>
      <c r="AR471" s="394"/>
      <c r="AS471" s="394"/>
      <c r="AT471" s="394"/>
      <c r="AU471" s="394"/>
      <c r="AV471" s="394"/>
      <c r="AW471" s="394"/>
      <c r="AX471" s="394"/>
      <c r="AY471" s="394"/>
      <c r="AZ471" s="394"/>
      <c r="BA471" s="394"/>
      <c r="BB471" s="394"/>
      <c r="BC471" s="394"/>
      <c r="BD471" s="394"/>
      <c r="BE471" s="394"/>
      <c r="BF471" s="394"/>
      <c r="BG471" s="394"/>
      <c r="BH471" s="394"/>
      <c r="BI471" s="394"/>
      <c r="BJ471" s="394"/>
      <c r="BK471" s="394"/>
      <c r="BL471" s="394"/>
    </row>
    <row r="472" spans="1:64" s="91" customFormat="1" ht="51" customHeight="1">
      <c r="A472" s="303"/>
      <c r="B472" s="93"/>
      <c r="C472" s="177">
        <f>"Alt. page:  https://www.bangalorenewsnetwork.com/news_detail.php?f_news_id=1707"</f>
        <v>0</v>
      </c>
      <c r="D472" s="95"/>
      <c r="E472" s="95"/>
      <c r="F472" s="95"/>
      <c r="G472" s="295"/>
      <c r="H472" s="97"/>
      <c r="I472" s="98"/>
      <c r="J472" s="112"/>
      <c r="K472" s="100"/>
      <c r="L472" s="226"/>
      <c r="M472" s="102">
        <f>"mailto:itecindia@saeindia.org"</f>
        <v>0</v>
      </c>
      <c r="N472" s="392"/>
      <c r="O472" s="104"/>
      <c r="P472" s="95"/>
      <c r="Q472" s="105"/>
      <c r="R472" s="115"/>
      <c r="S472" s="395"/>
      <c r="T472" s="396"/>
      <c r="U472" s="396"/>
      <c r="V472" s="396"/>
      <c r="W472" s="396"/>
      <c r="X472" s="396"/>
      <c r="Y472" s="396"/>
      <c r="Z472" s="396"/>
      <c r="AA472" s="396"/>
      <c r="AB472" s="396"/>
      <c r="AC472" s="396"/>
      <c r="AD472" s="396"/>
      <c r="AE472" s="396"/>
      <c r="AF472" s="396"/>
      <c r="AG472" s="396"/>
      <c r="AH472" s="396"/>
      <c r="AI472" s="396"/>
      <c r="AJ472" s="396"/>
      <c r="AK472" s="396"/>
      <c r="AL472" s="396"/>
      <c r="AM472" s="396"/>
      <c r="AN472" s="396"/>
      <c r="AO472" s="396"/>
      <c r="AP472" s="396"/>
      <c r="AQ472" s="396"/>
      <c r="AR472" s="396"/>
      <c r="AS472" s="396"/>
      <c r="AT472" s="396"/>
      <c r="AU472" s="396"/>
      <c r="AV472" s="396"/>
      <c r="AW472" s="396"/>
      <c r="AX472" s="396"/>
      <c r="AY472" s="396"/>
      <c r="AZ472" s="396"/>
      <c r="BA472" s="396"/>
      <c r="BB472" s="396"/>
      <c r="BC472" s="396"/>
      <c r="BD472" s="396"/>
      <c r="BE472" s="396"/>
      <c r="BF472" s="396"/>
      <c r="BG472" s="396"/>
      <c r="BH472" s="396"/>
      <c r="BI472" s="396"/>
      <c r="BJ472" s="396"/>
      <c r="BK472" s="396"/>
      <c r="BL472" s="396"/>
    </row>
    <row r="473" spans="1:64" ht="22.5" customHeight="1">
      <c r="A473" s="397" t="s">
        <v>1602</v>
      </c>
      <c r="B473" s="398" t="s">
        <v>1603</v>
      </c>
      <c r="C473" s="399">
        <f>"http://ctrg2019.trgindia.org/"</f>
        <v>0</v>
      </c>
      <c r="D473" s="400" t="s">
        <v>1604</v>
      </c>
      <c r="E473" s="401" t="s">
        <v>1605</v>
      </c>
      <c r="F473" s="400" t="s">
        <v>1606</v>
      </c>
      <c r="G473" s="402" t="s">
        <v>1607</v>
      </c>
      <c r="H473" s="403"/>
      <c r="I473" s="404"/>
      <c r="J473" s="405">
        <f>"Conference Secretariat:  www.ctrg2019.trgindia.org"</f>
        <v>0</v>
      </c>
      <c r="K473" s="100">
        <f>"mailto:info@trgindia.org"</f>
        <v>0</v>
      </c>
      <c r="L473" s="406">
        <f>"Important Dates:  http://ctrg2019.trgindia.org/CTRG-dates.php"</f>
        <v>0</v>
      </c>
      <c r="M473" s="407"/>
      <c r="N473" s="408"/>
      <c r="O473" s="409" t="s">
        <v>71</v>
      </c>
      <c r="P473" s="400">
        <f>"http://www.trb.org/Calendar/Calendar.aspx"</f>
        <v>0</v>
      </c>
      <c r="Q473" s="410" t="s">
        <v>72</v>
      </c>
      <c r="R473" s="411" t="s">
        <v>73</v>
      </c>
      <c r="S473" s="395"/>
      <c r="T473" s="396"/>
      <c r="U473" s="396"/>
      <c r="V473" s="396"/>
      <c r="W473" s="396"/>
      <c r="X473" s="396"/>
      <c r="Y473" s="396"/>
      <c r="Z473" s="396"/>
      <c r="AA473" s="396"/>
      <c r="AB473" s="396"/>
      <c r="AC473" s="396"/>
      <c r="AD473" s="396"/>
      <c r="AE473" s="396"/>
      <c r="AF473" s="396"/>
      <c r="AG473" s="396"/>
      <c r="AH473" s="396"/>
      <c r="AI473" s="396"/>
      <c r="AJ473" s="396"/>
      <c r="AK473" s="396"/>
      <c r="AL473" s="396"/>
      <c r="AM473" s="396"/>
      <c r="AN473" s="396"/>
      <c r="AO473" s="396"/>
      <c r="AP473" s="396"/>
      <c r="AQ473" s="396"/>
      <c r="AR473" s="396"/>
      <c r="AS473" s="396"/>
      <c r="AT473" s="396"/>
      <c r="AU473" s="396"/>
      <c r="AV473" s="396"/>
      <c r="AW473" s="396"/>
      <c r="AX473" s="396"/>
      <c r="AY473" s="396"/>
      <c r="AZ473" s="396"/>
      <c r="BA473" s="396"/>
      <c r="BB473" s="396"/>
      <c r="BC473" s="396"/>
      <c r="BD473" s="396"/>
      <c r="BE473" s="396"/>
      <c r="BF473" s="396"/>
      <c r="BG473" s="396"/>
      <c r="BH473" s="396"/>
      <c r="BI473" s="396"/>
      <c r="BJ473" s="396"/>
      <c r="BK473" s="396"/>
      <c r="BL473" s="396"/>
    </row>
    <row r="474" spans="1:64" ht="39.75" customHeight="1">
      <c r="A474" s="397"/>
      <c r="B474" s="398"/>
      <c r="C474" s="399"/>
      <c r="D474" s="400"/>
      <c r="E474" s="400"/>
      <c r="F474" s="400"/>
      <c r="G474" s="402"/>
      <c r="H474" s="403"/>
      <c r="I474" s="404"/>
      <c r="J474" s="405"/>
      <c r="K474" s="412">
        <f>"http://ctrg2019.trgindia.org/contact-us.php"</f>
        <v>0</v>
      </c>
      <c r="L474" s="406"/>
      <c r="M474" s="407"/>
      <c r="N474" s="408"/>
      <c r="O474" s="409"/>
      <c r="P474" s="400"/>
      <c r="Q474" s="410"/>
      <c r="R474" s="411"/>
      <c r="S474" s="413"/>
      <c r="T474" s="414"/>
      <c r="U474" s="414"/>
      <c r="V474" s="414"/>
      <c r="W474" s="414"/>
      <c r="X474" s="414"/>
      <c r="Y474" s="414"/>
      <c r="Z474" s="414"/>
      <c r="AA474" s="414"/>
      <c r="AB474" s="414"/>
      <c r="AC474" s="414"/>
      <c r="AD474" s="414"/>
      <c r="AE474" s="414"/>
      <c r="AF474" s="414"/>
      <c r="AG474" s="414"/>
      <c r="AH474" s="414"/>
      <c r="AI474" s="414"/>
      <c r="AJ474" s="414"/>
      <c r="AK474" s="414"/>
      <c r="AL474" s="414"/>
      <c r="AM474" s="414"/>
      <c r="AN474" s="414"/>
      <c r="AO474" s="414"/>
      <c r="AP474" s="414"/>
      <c r="AQ474" s="414"/>
      <c r="AR474" s="414"/>
      <c r="AS474" s="414"/>
      <c r="AT474" s="414"/>
      <c r="AU474" s="414"/>
      <c r="AV474" s="414"/>
      <c r="AW474" s="414"/>
      <c r="AX474" s="414"/>
      <c r="AY474" s="414"/>
      <c r="AZ474" s="414"/>
      <c r="BA474" s="414"/>
      <c r="BB474" s="414"/>
      <c r="BC474" s="414"/>
      <c r="BD474" s="414"/>
      <c r="BE474" s="414"/>
      <c r="BF474" s="414"/>
      <c r="BG474" s="414"/>
      <c r="BH474" s="414"/>
      <c r="BI474" s="414"/>
      <c r="BJ474" s="414"/>
      <c r="BK474" s="414"/>
      <c r="BL474" s="414"/>
    </row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862">
    <mergeCell ref="E1:G1"/>
    <mergeCell ref="I1:K1"/>
    <mergeCell ref="L1:M1"/>
    <mergeCell ref="N1:N2"/>
    <mergeCell ref="O1:Q1"/>
    <mergeCell ref="R1:R2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7:O8"/>
    <mergeCell ref="P7:P8"/>
    <mergeCell ref="Q7:Q8"/>
    <mergeCell ref="R7:R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O10:O11"/>
    <mergeCell ref="Q10:Q11"/>
    <mergeCell ref="R10:R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Q13:Q14"/>
    <mergeCell ref="R13:R14"/>
    <mergeCell ref="A16:A19"/>
    <mergeCell ref="B16:B19"/>
    <mergeCell ref="C16:C19"/>
    <mergeCell ref="D16:D19"/>
    <mergeCell ref="E16:E19"/>
    <mergeCell ref="F16:F17"/>
    <mergeCell ref="G16:G19"/>
    <mergeCell ref="I16:I19"/>
    <mergeCell ref="J16:J19"/>
    <mergeCell ref="K16:K19"/>
    <mergeCell ref="L16:L19"/>
    <mergeCell ref="M16:M19"/>
    <mergeCell ref="N16:N19"/>
    <mergeCell ref="O16:O19"/>
    <mergeCell ref="P16:P19"/>
    <mergeCell ref="Q16:Q19"/>
    <mergeCell ref="R16:R19"/>
    <mergeCell ref="F18:F19"/>
    <mergeCell ref="A23:A24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8:A30"/>
    <mergeCell ref="B28:B30"/>
    <mergeCell ref="C28:C30"/>
    <mergeCell ref="D28:D30"/>
    <mergeCell ref="E28:E30"/>
    <mergeCell ref="F28:F30"/>
    <mergeCell ref="G28:G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A31:A33"/>
    <mergeCell ref="B31:B33"/>
    <mergeCell ref="C31:C33"/>
    <mergeCell ref="D31:D33"/>
    <mergeCell ref="E31:E33"/>
    <mergeCell ref="F31:F33"/>
    <mergeCell ref="G31:G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C34:D34"/>
    <mergeCell ref="A35:A39"/>
    <mergeCell ref="B35:B39"/>
    <mergeCell ref="C35:C39"/>
    <mergeCell ref="D35:D37"/>
    <mergeCell ref="E35:E37"/>
    <mergeCell ref="F35:F39"/>
    <mergeCell ref="G35:G39"/>
    <mergeCell ref="H35:H39"/>
    <mergeCell ref="I35:J35"/>
    <mergeCell ref="K35:K37"/>
    <mergeCell ref="L35:L39"/>
    <mergeCell ref="O35:O39"/>
    <mergeCell ref="P35:P39"/>
    <mergeCell ref="Q35:Q39"/>
    <mergeCell ref="R35:R39"/>
    <mergeCell ref="I36:J36"/>
    <mergeCell ref="I37:J37"/>
    <mergeCell ref="D38:D39"/>
    <mergeCell ref="E38:E39"/>
    <mergeCell ref="I38:J38"/>
    <mergeCell ref="K38:K39"/>
    <mergeCell ref="I39:J39"/>
    <mergeCell ref="A41:A43"/>
    <mergeCell ref="B41:B43"/>
    <mergeCell ref="C41:C43"/>
    <mergeCell ref="D41:D43"/>
    <mergeCell ref="E41:E43"/>
    <mergeCell ref="F41:F43"/>
    <mergeCell ref="G41:G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A46:A49"/>
    <mergeCell ref="B46:B49"/>
    <mergeCell ref="C46:C49"/>
    <mergeCell ref="D46:D49"/>
    <mergeCell ref="E46:E49"/>
    <mergeCell ref="F46:F47"/>
    <mergeCell ref="G46:G49"/>
    <mergeCell ref="I46:I49"/>
    <mergeCell ref="J46:J49"/>
    <mergeCell ref="K46:K49"/>
    <mergeCell ref="L46:L49"/>
    <mergeCell ref="M46:M49"/>
    <mergeCell ref="N46:N49"/>
    <mergeCell ref="O46:O49"/>
    <mergeCell ref="P46:P49"/>
    <mergeCell ref="Q46:Q49"/>
    <mergeCell ref="R46:R49"/>
    <mergeCell ref="F48:F49"/>
    <mergeCell ref="A51:A55"/>
    <mergeCell ref="B51:B55"/>
    <mergeCell ref="C51:C55"/>
    <mergeCell ref="D51:D55"/>
    <mergeCell ref="E51:E55"/>
    <mergeCell ref="F51:F55"/>
    <mergeCell ref="G51:G55"/>
    <mergeCell ref="I51:I55"/>
    <mergeCell ref="J51:J55"/>
    <mergeCell ref="K51:K55"/>
    <mergeCell ref="L51:L55"/>
    <mergeCell ref="M51:M55"/>
    <mergeCell ref="N51:N55"/>
    <mergeCell ref="O51:O55"/>
    <mergeCell ref="P51:P55"/>
    <mergeCell ref="Q51:Q55"/>
    <mergeCell ref="R51:R55"/>
    <mergeCell ref="L60:M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M62:M63"/>
    <mergeCell ref="N62:N63"/>
    <mergeCell ref="Q62:Q63"/>
    <mergeCell ref="R62:R63"/>
    <mergeCell ref="L67:M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O68:O69"/>
    <mergeCell ref="P68:P69"/>
    <mergeCell ref="Q68:Q69"/>
    <mergeCell ref="R68:R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O70:O71"/>
    <mergeCell ref="P70:P71"/>
    <mergeCell ref="Q70:Q71"/>
    <mergeCell ref="R70:R71"/>
    <mergeCell ref="L71:N71"/>
    <mergeCell ref="A72:A73"/>
    <mergeCell ref="B72:B73"/>
    <mergeCell ref="C72:C73"/>
    <mergeCell ref="D72:D73"/>
    <mergeCell ref="E72:E73"/>
    <mergeCell ref="G72:G73"/>
    <mergeCell ref="H72:H73"/>
    <mergeCell ref="I72:I73"/>
    <mergeCell ref="J72:J73"/>
    <mergeCell ref="O72:O73"/>
    <mergeCell ref="P72:P73"/>
    <mergeCell ref="Q72:Q73"/>
    <mergeCell ref="R72:R73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N76:N77"/>
    <mergeCell ref="O76:O77"/>
    <mergeCell ref="P76:P77"/>
    <mergeCell ref="Q76:Q77"/>
    <mergeCell ref="R76:R77"/>
    <mergeCell ref="A79:A86"/>
    <mergeCell ref="B79:B86"/>
    <mergeCell ref="C79:C86"/>
    <mergeCell ref="D79:D86"/>
    <mergeCell ref="E79:E81"/>
    <mergeCell ref="F79:F86"/>
    <mergeCell ref="G79:G86"/>
    <mergeCell ref="H79:H86"/>
    <mergeCell ref="I79:I86"/>
    <mergeCell ref="J79:J86"/>
    <mergeCell ref="K79:K86"/>
    <mergeCell ref="O79:O86"/>
    <mergeCell ref="P79:P86"/>
    <mergeCell ref="Q79:Q86"/>
    <mergeCell ref="R79:R86"/>
    <mergeCell ref="L80:M80"/>
    <mergeCell ref="L81:M81"/>
    <mergeCell ref="E82:E84"/>
    <mergeCell ref="L82:M82"/>
    <mergeCell ref="L83:M83"/>
    <mergeCell ref="L84:M84"/>
    <mergeCell ref="E85:E86"/>
    <mergeCell ref="L85:M85"/>
    <mergeCell ref="L86:M86"/>
    <mergeCell ref="L87:M87"/>
    <mergeCell ref="A88:A92"/>
    <mergeCell ref="B88:B92"/>
    <mergeCell ref="C88:C92"/>
    <mergeCell ref="D88:D92"/>
    <mergeCell ref="E88:E92"/>
    <mergeCell ref="F88:F92"/>
    <mergeCell ref="G88:G92"/>
    <mergeCell ref="H88:H92"/>
    <mergeCell ref="I88:I92"/>
    <mergeCell ref="J88:J92"/>
    <mergeCell ref="K88:K92"/>
    <mergeCell ref="O88:O92"/>
    <mergeCell ref="P88:P92"/>
    <mergeCell ref="Q88:Q92"/>
    <mergeCell ref="R88:R92"/>
    <mergeCell ref="M92:N92"/>
    <mergeCell ref="A98:A101"/>
    <mergeCell ref="B98:B101"/>
    <mergeCell ref="C98:C101"/>
    <mergeCell ref="D98:D101"/>
    <mergeCell ref="E98:E101"/>
    <mergeCell ref="F98:F101"/>
    <mergeCell ref="G98:G99"/>
    <mergeCell ref="H98:H99"/>
    <mergeCell ref="I98:I101"/>
    <mergeCell ref="J98:J101"/>
    <mergeCell ref="K98:K101"/>
    <mergeCell ref="M98:M101"/>
    <mergeCell ref="N98:N100"/>
    <mergeCell ref="O98:O101"/>
    <mergeCell ref="P98:P101"/>
    <mergeCell ref="Q98:Q101"/>
    <mergeCell ref="R98:R101"/>
    <mergeCell ref="G100:G101"/>
    <mergeCell ref="H100:H101"/>
    <mergeCell ref="L103:M103"/>
    <mergeCell ref="A104:A106"/>
    <mergeCell ref="B104:B106"/>
    <mergeCell ref="C104:C106"/>
    <mergeCell ref="D104:D106"/>
    <mergeCell ref="E104:E106"/>
    <mergeCell ref="F104:F106"/>
    <mergeCell ref="G104:G106"/>
    <mergeCell ref="H104:H106"/>
    <mergeCell ref="I104:I106"/>
    <mergeCell ref="J104:J106"/>
    <mergeCell ref="K104:K106"/>
    <mergeCell ref="O104:O106"/>
    <mergeCell ref="P104:P106"/>
    <mergeCell ref="Q104:Q106"/>
    <mergeCell ref="R104:R106"/>
    <mergeCell ref="D107:D108"/>
    <mergeCell ref="E107:E108"/>
    <mergeCell ref="O107:O108"/>
    <mergeCell ref="P107:P108"/>
    <mergeCell ref="Q107:Q108"/>
    <mergeCell ref="R107:R108"/>
    <mergeCell ref="A109:A111"/>
    <mergeCell ref="B109:B111"/>
    <mergeCell ref="C109:C111"/>
    <mergeCell ref="D109:D113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N109"/>
    <mergeCell ref="O109:O111"/>
    <mergeCell ref="P109:P111"/>
    <mergeCell ref="Q109:Q111"/>
    <mergeCell ref="R109:R111"/>
    <mergeCell ref="M110:N110"/>
    <mergeCell ref="M111:N111"/>
    <mergeCell ref="A112:A113"/>
    <mergeCell ref="B112:B113"/>
    <mergeCell ref="C112:C113"/>
    <mergeCell ref="E112:E113"/>
    <mergeCell ref="F112:F113"/>
    <mergeCell ref="G112:G113"/>
    <mergeCell ref="H112:H113"/>
    <mergeCell ref="I112:I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A114:A116"/>
    <mergeCell ref="B114:B116"/>
    <mergeCell ref="C114:C116"/>
    <mergeCell ref="D114:D116"/>
    <mergeCell ref="E114:E116"/>
    <mergeCell ref="F114:F116"/>
    <mergeCell ref="G114:G116"/>
    <mergeCell ref="I114:I116"/>
    <mergeCell ref="J114:J116"/>
    <mergeCell ref="K114:K116"/>
    <mergeCell ref="L114:L116"/>
    <mergeCell ref="M114:M116"/>
    <mergeCell ref="N114:N116"/>
    <mergeCell ref="O114:O116"/>
    <mergeCell ref="P114:P116"/>
    <mergeCell ref="Q114:Q116"/>
    <mergeCell ref="R114:R116"/>
    <mergeCell ref="L117:M117"/>
    <mergeCell ref="A118:A119"/>
    <mergeCell ref="B118:B119"/>
    <mergeCell ref="C118:C119"/>
    <mergeCell ref="D118:D119"/>
    <mergeCell ref="E118:E119"/>
    <mergeCell ref="F118:F119"/>
    <mergeCell ref="G118:G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A120:A122"/>
    <mergeCell ref="B120:B122"/>
    <mergeCell ref="C120:C122"/>
    <mergeCell ref="D120:D122"/>
    <mergeCell ref="E120:E122"/>
    <mergeCell ref="F120:F122"/>
    <mergeCell ref="H120:H122"/>
    <mergeCell ref="I120:I122"/>
    <mergeCell ref="J120:J122"/>
    <mergeCell ref="K120:K122"/>
    <mergeCell ref="L120:L122"/>
    <mergeCell ref="M120:M122"/>
    <mergeCell ref="N120:N122"/>
    <mergeCell ref="O120:O122"/>
    <mergeCell ref="P120:P122"/>
    <mergeCell ref="Q120:Q122"/>
    <mergeCell ref="R120:R122"/>
    <mergeCell ref="C124:D124"/>
    <mergeCell ref="L125:M125"/>
    <mergeCell ref="A127:A137"/>
    <mergeCell ref="B127:B137"/>
    <mergeCell ref="C127:C132"/>
    <mergeCell ref="F127:F137"/>
    <mergeCell ref="G127:G137"/>
    <mergeCell ref="H127:H137"/>
    <mergeCell ref="O127:O137"/>
    <mergeCell ref="P127:P137"/>
    <mergeCell ref="Q127:Q137"/>
    <mergeCell ref="R127:R137"/>
    <mergeCell ref="D128:D129"/>
    <mergeCell ref="E128:E129"/>
    <mergeCell ref="I128:I129"/>
    <mergeCell ref="J128:J129"/>
    <mergeCell ref="K128:K129"/>
    <mergeCell ref="M128:M129"/>
    <mergeCell ref="N128:N129"/>
    <mergeCell ref="D130:D131"/>
    <mergeCell ref="E130:E131"/>
    <mergeCell ref="I130:I131"/>
    <mergeCell ref="J130:J131"/>
    <mergeCell ref="L130:L131"/>
    <mergeCell ref="M130:M131"/>
    <mergeCell ref="N130:N131"/>
    <mergeCell ref="D132:D133"/>
    <mergeCell ref="E132:E133"/>
    <mergeCell ref="I132:I133"/>
    <mergeCell ref="J132:J133"/>
    <mergeCell ref="L132:L133"/>
    <mergeCell ref="M132:M133"/>
    <mergeCell ref="N132:N133"/>
    <mergeCell ref="C133:C137"/>
    <mergeCell ref="D135:D137"/>
    <mergeCell ref="E135:E137"/>
    <mergeCell ref="I135:I137"/>
    <mergeCell ref="J135:J137"/>
    <mergeCell ref="K135:K137"/>
    <mergeCell ref="M135:M137"/>
    <mergeCell ref="N135:N137"/>
    <mergeCell ref="B140:B143"/>
    <mergeCell ref="D140:D143"/>
    <mergeCell ref="E140:E143"/>
    <mergeCell ref="F140:F143"/>
    <mergeCell ref="I141:I143"/>
    <mergeCell ref="K141:K143"/>
    <mergeCell ref="J142:J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Q144:Q145"/>
    <mergeCell ref="R144:R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M146:M147"/>
    <mergeCell ref="N146:N147"/>
    <mergeCell ref="Q146:Q147"/>
    <mergeCell ref="R146:R147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O148:O149"/>
    <mergeCell ref="P148:P149"/>
    <mergeCell ref="Q148:Q149"/>
    <mergeCell ref="R148:R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M150:M151"/>
    <mergeCell ref="N150:N151"/>
    <mergeCell ref="O150:O151"/>
    <mergeCell ref="P150:P151"/>
    <mergeCell ref="Q150:Q151"/>
    <mergeCell ref="R150:R151"/>
    <mergeCell ref="A155:A156"/>
    <mergeCell ref="B155:B156"/>
    <mergeCell ref="C155:C156"/>
    <mergeCell ref="D155:D156"/>
    <mergeCell ref="E155:E156"/>
    <mergeCell ref="F155:F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A158:A159"/>
    <mergeCell ref="B158:B159"/>
    <mergeCell ref="C158:C159"/>
    <mergeCell ref="D158:D159"/>
    <mergeCell ref="E158:E159"/>
    <mergeCell ref="F158:F159"/>
    <mergeCell ref="G158:G159"/>
    <mergeCell ref="M158:M159"/>
    <mergeCell ref="N158:N159"/>
    <mergeCell ref="O158:O159"/>
    <mergeCell ref="P158:P159"/>
    <mergeCell ref="Q158:Q159"/>
    <mergeCell ref="R158:R159"/>
    <mergeCell ref="A160:A162"/>
    <mergeCell ref="B160:B162"/>
    <mergeCell ref="C160:C162"/>
    <mergeCell ref="D160:D162"/>
    <mergeCell ref="E160:E161"/>
    <mergeCell ref="F160:F162"/>
    <mergeCell ref="G160:G162"/>
    <mergeCell ref="H160:H162"/>
    <mergeCell ref="O160:O161"/>
    <mergeCell ref="P160:P161"/>
    <mergeCell ref="Q160:Q162"/>
    <mergeCell ref="R160:R162"/>
    <mergeCell ref="A163:A164"/>
    <mergeCell ref="B163:B164"/>
    <mergeCell ref="C163:C164"/>
    <mergeCell ref="D163:D164"/>
    <mergeCell ref="E163:E164"/>
    <mergeCell ref="F163:F164"/>
    <mergeCell ref="I163:I164"/>
    <mergeCell ref="J163:J164"/>
    <mergeCell ref="L163:L164"/>
    <mergeCell ref="M163:M164"/>
    <mergeCell ref="N163:N164"/>
    <mergeCell ref="O163:O164"/>
    <mergeCell ref="P163:P164"/>
    <mergeCell ref="Q163:Q164"/>
    <mergeCell ref="R163:R164"/>
    <mergeCell ref="A165:A167"/>
    <mergeCell ref="B165:B167"/>
    <mergeCell ref="C165:C167"/>
    <mergeCell ref="D165:D167"/>
    <mergeCell ref="E165:E167"/>
    <mergeCell ref="F165:F167"/>
    <mergeCell ref="G165:G167"/>
    <mergeCell ref="H165:H167"/>
    <mergeCell ref="I165:I167"/>
    <mergeCell ref="J165:J167"/>
    <mergeCell ref="K165:K167"/>
    <mergeCell ref="O165:O167"/>
    <mergeCell ref="P165:P167"/>
    <mergeCell ref="Q165:Q167"/>
    <mergeCell ref="R165:R167"/>
    <mergeCell ref="L168:M168"/>
    <mergeCell ref="A169:A170"/>
    <mergeCell ref="B169:B170"/>
    <mergeCell ref="C169:C170"/>
    <mergeCell ref="D169:D170"/>
    <mergeCell ref="E169:E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M171:M172"/>
    <mergeCell ref="N171:N172"/>
    <mergeCell ref="Q171:Q172"/>
    <mergeCell ref="R171:R172"/>
    <mergeCell ref="M173:N173"/>
    <mergeCell ref="B175:B180"/>
    <mergeCell ref="D175:D180"/>
    <mergeCell ref="E175:E179"/>
    <mergeCell ref="F175:F180"/>
    <mergeCell ref="R175:R176"/>
    <mergeCell ref="O178:O180"/>
    <mergeCell ref="P178:P180"/>
    <mergeCell ref="Q178:Q180"/>
    <mergeCell ref="R178:R180"/>
    <mergeCell ref="A181:A182"/>
    <mergeCell ref="B181:B182"/>
    <mergeCell ref="C181:C182"/>
    <mergeCell ref="D181:D182"/>
    <mergeCell ref="E181:E182"/>
    <mergeCell ref="F181:F182"/>
    <mergeCell ref="G181:G182"/>
    <mergeCell ref="I181:I182"/>
    <mergeCell ref="J181:J182"/>
    <mergeCell ref="K181:K182"/>
    <mergeCell ref="L181:L182"/>
    <mergeCell ref="M181:M182"/>
    <mergeCell ref="N181:N182"/>
    <mergeCell ref="Q181:Q182"/>
    <mergeCell ref="R181:R182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L186:L187"/>
    <mergeCell ref="M186:M187"/>
    <mergeCell ref="N186:N187"/>
    <mergeCell ref="Q186:Q187"/>
    <mergeCell ref="R186:R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M189"/>
    <mergeCell ref="N188:N189"/>
    <mergeCell ref="Q188:Q189"/>
    <mergeCell ref="R188:R189"/>
    <mergeCell ref="A190:A191"/>
    <mergeCell ref="B190:B191"/>
    <mergeCell ref="C190:C191"/>
    <mergeCell ref="D190:D191"/>
    <mergeCell ref="F190:F191"/>
    <mergeCell ref="G190:G191"/>
    <mergeCell ref="H190:H191"/>
    <mergeCell ref="I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M192:M193"/>
    <mergeCell ref="N192:N193"/>
    <mergeCell ref="O192:O193"/>
    <mergeCell ref="P192:P193"/>
    <mergeCell ref="Q192:Q193"/>
    <mergeCell ref="R192:R193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M195:M196"/>
    <mergeCell ref="N195:N196"/>
    <mergeCell ref="Q195:Q196"/>
    <mergeCell ref="R195:R196"/>
    <mergeCell ref="A197:A199"/>
    <mergeCell ref="B197:B199"/>
    <mergeCell ref="C197:C199"/>
    <mergeCell ref="D197:D199"/>
    <mergeCell ref="E197:E199"/>
    <mergeCell ref="F197:F199"/>
    <mergeCell ref="G197:G199"/>
    <mergeCell ref="I197:I199"/>
    <mergeCell ref="J197:J199"/>
    <mergeCell ref="K197:K199"/>
    <mergeCell ref="L197:L199"/>
    <mergeCell ref="M197:M199"/>
    <mergeCell ref="N197:N199"/>
    <mergeCell ref="O197:O199"/>
    <mergeCell ref="P197:P199"/>
    <mergeCell ref="Q197:Q199"/>
    <mergeCell ref="R197:R199"/>
    <mergeCell ref="A200:A202"/>
    <mergeCell ref="B200:B202"/>
    <mergeCell ref="C200:C202"/>
    <mergeCell ref="D200:D202"/>
    <mergeCell ref="E200:E202"/>
    <mergeCell ref="G200:G202"/>
    <mergeCell ref="H200:H202"/>
    <mergeCell ref="I200:J202"/>
    <mergeCell ref="K200:K202"/>
    <mergeCell ref="L200:L202"/>
    <mergeCell ref="M200:M202"/>
    <mergeCell ref="N200:N202"/>
    <mergeCell ref="O200:O202"/>
    <mergeCell ref="P200:P202"/>
    <mergeCell ref="Q200:Q202"/>
    <mergeCell ref="R200:R202"/>
    <mergeCell ref="L203:M203"/>
    <mergeCell ref="A204:A208"/>
    <mergeCell ref="B204:B208"/>
    <mergeCell ref="D204:D208"/>
    <mergeCell ref="E204:E208"/>
    <mergeCell ref="F204:F208"/>
    <mergeCell ref="G204:G208"/>
    <mergeCell ref="H204:H208"/>
    <mergeCell ref="I204:I208"/>
    <mergeCell ref="J204:J208"/>
    <mergeCell ref="N204:N208"/>
    <mergeCell ref="O204:O208"/>
    <mergeCell ref="P204:P208"/>
    <mergeCell ref="Q204:Q208"/>
    <mergeCell ref="R204:R208"/>
    <mergeCell ref="L207:L208"/>
    <mergeCell ref="M207:M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Q209:Q210"/>
    <mergeCell ref="R209:R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O211:O212"/>
    <mergeCell ref="P211:P212"/>
    <mergeCell ref="Q211:Q212"/>
    <mergeCell ref="R211:R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I213:I216"/>
    <mergeCell ref="J213:J216"/>
    <mergeCell ref="K213:K216"/>
    <mergeCell ref="M213:M214"/>
    <mergeCell ref="N213:N214"/>
    <mergeCell ref="O213:O216"/>
    <mergeCell ref="P213:P216"/>
    <mergeCell ref="Q213:Q216"/>
    <mergeCell ref="R213:R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M217:M218"/>
    <mergeCell ref="N217:N218"/>
    <mergeCell ref="Q217:Q218"/>
    <mergeCell ref="R217:R218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M220:M221"/>
    <mergeCell ref="N220:N221"/>
    <mergeCell ref="Q220:Q221"/>
    <mergeCell ref="R220:R221"/>
    <mergeCell ref="A223:A224"/>
    <mergeCell ref="B223:B224"/>
    <mergeCell ref="C223:C224"/>
    <mergeCell ref="D223:D224"/>
    <mergeCell ref="E223:E224"/>
    <mergeCell ref="F223:F224"/>
    <mergeCell ref="H223:H224"/>
    <mergeCell ref="I223:I224"/>
    <mergeCell ref="J223:J224"/>
    <mergeCell ref="K223:K224"/>
    <mergeCell ref="O223:O224"/>
    <mergeCell ref="P223:P224"/>
    <mergeCell ref="Q223:Q224"/>
    <mergeCell ref="R223:R224"/>
    <mergeCell ref="A225:A234"/>
    <mergeCell ref="B225:B234"/>
    <mergeCell ref="C225:C230"/>
    <mergeCell ref="F225:F234"/>
    <mergeCell ref="G225:G234"/>
    <mergeCell ref="H225:H234"/>
    <mergeCell ref="O225:O234"/>
    <mergeCell ref="P225:P234"/>
    <mergeCell ref="Q225:Q234"/>
    <mergeCell ref="R225:R234"/>
    <mergeCell ref="D226:D227"/>
    <mergeCell ref="E226:E227"/>
    <mergeCell ref="I226:I227"/>
    <mergeCell ref="J226:J227"/>
    <mergeCell ref="L226:L227"/>
    <mergeCell ref="M226:M227"/>
    <mergeCell ref="N226:N227"/>
    <mergeCell ref="D228:D229"/>
    <mergeCell ref="E228:E229"/>
    <mergeCell ref="I228:I229"/>
    <mergeCell ref="M228:M229"/>
    <mergeCell ref="N228:N229"/>
    <mergeCell ref="D230:D231"/>
    <mergeCell ref="E230:E231"/>
    <mergeCell ref="I230:I231"/>
    <mergeCell ref="J230:J231"/>
    <mergeCell ref="L230:L231"/>
    <mergeCell ref="M230:M231"/>
    <mergeCell ref="N230:N231"/>
    <mergeCell ref="C231:C234"/>
    <mergeCell ref="D232:D234"/>
    <mergeCell ref="E232:E234"/>
    <mergeCell ref="I232:I234"/>
    <mergeCell ref="J232:J234"/>
    <mergeCell ref="K232:K234"/>
    <mergeCell ref="M232:M234"/>
    <mergeCell ref="N232:N234"/>
    <mergeCell ref="M235:N235"/>
    <mergeCell ref="A237:A238"/>
    <mergeCell ref="B237:B238"/>
    <mergeCell ref="C237:C238"/>
    <mergeCell ref="D237:D238"/>
    <mergeCell ref="E237:E238"/>
    <mergeCell ref="G237:G238"/>
    <mergeCell ref="H237:H238"/>
    <mergeCell ref="I237:J238"/>
    <mergeCell ref="K237:K238"/>
    <mergeCell ref="L237:L238"/>
    <mergeCell ref="N237:N238"/>
    <mergeCell ref="O237:O238"/>
    <mergeCell ref="P237:P238"/>
    <mergeCell ref="Q237:Q238"/>
    <mergeCell ref="R237:R238"/>
    <mergeCell ref="B239:B240"/>
    <mergeCell ref="D239:D240"/>
    <mergeCell ref="F239:F240"/>
    <mergeCell ref="H239:H240"/>
    <mergeCell ref="L239:L240"/>
    <mergeCell ref="M239:M240"/>
    <mergeCell ref="N239:N240"/>
    <mergeCell ref="O239:O240"/>
    <mergeCell ref="P239:P240"/>
    <mergeCell ref="Q239:Q240"/>
    <mergeCell ref="R239:R240"/>
    <mergeCell ref="A241:A243"/>
    <mergeCell ref="B241:B243"/>
    <mergeCell ref="C241:C243"/>
    <mergeCell ref="D241:D243"/>
    <mergeCell ref="E241:E243"/>
    <mergeCell ref="F241:F243"/>
    <mergeCell ref="G241:G243"/>
    <mergeCell ref="I241:I243"/>
    <mergeCell ref="J241:J243"/>
    <mergeCell ref="K241:K243"/>
    <mergeCell ref="L241:L243"/>
    <mergeCell ref="M241:M243"/>
    <mergeCell ref="N241:N243"/>
    <mergeCell ref="O241:O243"/>
    <mergeCell ref="P241:P243"/>
    <mergeCell ref="Q241:Q243"/>
    <mergeCell ref="R241:R243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J244:J246"/>
    <mergeCell ref="L244:L246"/>
    <mergeCell ref="M244:M246"/>
    <mergeCell ref="N244:N246"/>
    <mergeCell ref="O244:O246"/>
    <mergeCell ref="P244:P246"/>
    <mergeCell ref="Q244:Q246"/>
    <mergeCell ref="R244:R246"/>
    <mergeCell ref="M247:N247"/>
    <mergeCell ref="A248:A249"/>
    <mergeCell ref="B248:B249"/>
    <mergeCell ref="C248:C249"/>
    <mergeCell ref="D248:D249"/>
    <mergeCell ref="F248:F249"/>
    <mergeCell ref="G248:G249"/>
    <mergeCell ref="H248:H249"/>
    <mergeCell ref="I248:I249"/>
    <mergeCell ref="J248:J249"/>
    <mergeCell ref="K248:K249"/>
    <mergeCell ref="M248:M249"/>
    <mergeCell ref="N248:N249"/>
    <mergeCell ref="R248:R249"/>
    <mergeCell ref="A253:A254"/>
    <mergeCell ref="B253:B254"/>
    <mergeCell ref="C253:C254"/>
    <mergeCell ref="D253:D254"/>
    <mergeCell ref="E253:E254"/>
    <mergeCell ref="F253:F254"/>
    <mergeCell ref="G253:G254"/>
    <mergeCell ref="I253:I254"/>
    <mergeCell ref="J253:J254"/>
    <mergeCell ref="K253:K254"/>
    <mergeCell ref="M253:N253"/>
    <mergeCell ref="O253:O254"/>
    <mergeCell ref="P253:P254"/>
    <mergeCell ref="Q253:Q254"/>
    <mergeCell ref="R253:R254"/>
    <mergeCell ref="L254:N254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L256:L257"/>
    <mergeCell ref="M256:M257"/>
    <mergeCell ref="N256:N257"/>
    <mergeCell ref="O256:O257"/>
    <mergeCell ref="P256:P257"/>
    <mergeCell ref="Q256:Q257"/>
    <mergeCell ref="R256:R257"/>
    <mergeCell ref="A259:A261"/>
    <mergeCell ref="B259:B261"/>
    <mergeCell ref="C259:C261"/>
    <mergeCell ref="D259:D261"/>
    <mergeCell ref="E259:E261"/>
    <mergeCell ref="F259:F261"/>
    <mergeCell ref="G259:G261"/>
    <mergeCell ref="I259:I261"/>
    <mergeCell ref="J259:J261"/>
    <mergeCell ref="K259:K261"/>
    <mergeCell ref="L259:L261"/>
    <mergeCell ref="M259:M261"/>
    <mergeCell ref="N259:N261"/>
    <mergeCell ref="O259:O261"/>
    <mergeCell ref="P259:P261"/>
    <mergeCell ref="Q259:Q261"/>
    <mergeCell ref="R259:R261"/>
    <mergeCell ref="A264:A267"/>
    <mergeCell ref="B264:B267"/>
    <mergeCell ref="C264:C267"/>
    <mergeCell ref="D264:D267"/>
    <mergeCell ref="E264:E267"/>
    <mergeCell ref="F264:F267"/>
    <mergeCell ref="G264:G267"/>
    <mergeCell ref="I264:I267"/>
    <mergeCell ref="J264:J267"/>
    <mergeCell ref="K264:K267"/>
    <mergeCell ref="L264:L267"/>
    <mergeCell ref="M264:M267"/>
    <mergeCell ref="N264:N267"/>
    <mergeCell ref="O264:O267"/>
    <mergeCell ref="P264:P267"/>
    <mergeCell ref="Q264:Q267"/>
    <mergeCell ref="R264:R267"/>
    <mergeCell ref="A272:A276"/>
    <mergeCell ref="B272:B276"/>
    <mergeCell ref="C272:C276"/>
    <mergeCell ref="D272:D276"/>
    <mergeCell ref="E272:E276"/>
    <mergeCell ref="F272:F276"/>
    <mergeCell ref="G272:G276"/>
    <mergeCell ref="H272:H276"/>
    <mergeCell ref="I272:I276"/>
    <mergeCell ref="J272:J276"/>
    <mergeCell ref="K272:K276"/>
    <mergeCell ref="L272:N272"/>
    <mergeCell ref="O272:O276"/>
    <mergeCell ref="P272:P276"/>
    <mergeCell ref="Q272:Q276"/>
    <mergeCell ref="R272:R276"/>
    <mergeCell ref="L273:N273"/>
    <mergeCell ref="L274:N274"/>
    <mergeCell ref="L275:N275"/>
    <mergeCell ref="L276:N276"/>
    <mergeCell ref="A277:A279"/>
    <mergeCell ref="B277:B279"/>
    <mergeCell ref="D277:D279"/>
    <mergeCell ref="E277:E279"/>
    <mergeCell ref="F277:F279"/>
    <mergeCell ref="G277:G279"/>
    <mergeCell ref="H277:H279"/>
    <mergeCell ref="I277:I279"/>
    <mergeCell ref="J277:J279"/>
    <mergeCell ref="K277:K279"/>
    <mergeCell ref="L277:L279"/>
    <mergeCell ref="M277:M279"/>
    <mergeCell ref="N277:N279"/>
    <mergeCell ref="O277:O279"/>
    <mergeCell ref="P277:P279"/>
    <mergeCell ref="Q277:Q279"/>
    <mergeCell ref="R277:R279"/>
    <mergeCell ref="A280:A307"/>
    <mergeCell ref="B280:B307"/>
    <mergeCell ref="C280:C296"/>
    <mergeCell ref="F280:F307"/>
    <mergeCell ref="G280:G307"/>
    <mergeCell ref="H280:H307"/>
    <mergeCell ref="I280:I281"/>
    <mergeCell ref="J280:J281"/>
    <mergeCell ref="K280:K281"/>
    <mergeCell ref="O280:O307"/>
    <mergeCell ref="P280:P307"/>
    <mergeCell ref="Q280:Q307"/>
    <mergeCell ref="R280:R307"/>
    <mergeCell ref="D282:D284"/>
    <mergeCell ref="E282:E284"/>
    <mergeCell ref="I282:I284"/>
    <mergeCell ref="J282:J284"/>
    <mergeCell ref="K282:K284"/>
    <mergeCell ref="M282:M284"/>
    <mergeCell ref="N282:N284"/>
    <mergeCell ref="D285:D301"/>
    <mergeCell ref="E285:E301"/>
    <mergeCell ref="I285:I301"/>
    <mergeCell ref="J285:J301"/>
    <mergeCell ref="K285:K301"/>
    <mergeCell ref="M286:M301"/>
    <mergeCell ref="N286:N301"/>
    <mergeCell ref="C297:C307"/>
    <mergeCell ref="D302:D305"/>
    <mergeCell ref="E302:E305"/>
    <mergeCell ref="I302:I305"/>
    <mergeCell ref="J302:J305"/>
    <mergeCell ref="K302:K305"/>
    <mergeCell ref="M303:M305"/>
    <mergeCell ref="N303:N305"/>
    <mergeCell ref="D306:D307"/>
    <mergeCell ref="E306:E307"/>
    <mergeCell ref="I306:I307"/>
    <mergeCell ref="J306:J307"/>
    <mergeCell ref="K306:K307"/>
    <mergeCell ref="M306:M307"/>
    <mergeCell ref="N306:N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M308:M309"/>
    <mergeCell ref="N308:N309"/>
    <mergeCell ref="Q308:Q309"/>
    <mergeCell ref="R308:R309"/>
    <mergeCell ref="A311:A312"/>
    <mergeCell ref="B311:B312"/>
    <mergeCell ref="D311:D312"/>
    <mergeCell ref="E311:E312"/>
    <mergeCell ref="F311:F312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Q311:Q312"/>
    <mergeCell ref="R311:R312"/>
    <mergeCell ref="M313:N313"/>
    <mergeCell ref="A314:A315"/>
    <mergeCell ref="B314:B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Q314:Q315"/>
    <mergeCell ref="R314:R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M316:M317"/>
    <mergeCell ref="N316:N317"/>
    <mergeCell ref="Q316:Q317"/>
    <mergeCell ref="R316:R317"/>
    <mergeCell ref="A319:A320"/>
    <mergeCell ref="B319:B320"/>
    <mergeCell ref="D319:D320"/>
    <mergeCell ref="E319:E320"/>
    <mergeCell ref="F319:F320"/>
    <mergeCell ref="G319:G320"/>
    <mergeCell ref="H319:H320"/>
    <mergeCell ref="O319:O320"/>
    <mergeCell ref="P319:P320"/>
    <mergeCell ref="Q319:Q320"/>
    <mergeCell ref="R319:R320"/>
    <mergeCell ref="I320:J320"/>
    <mergeCell ref="A321:A325"/>
    <mergeCell ref="B321:B326"/>
    <mergeCell ref="C321:C325"/>
    <mergeCell ref="D321:D326"/>
    <mergeCell ref="E321:E325"/>
    <mergeCell ref="F321:F325"/>
    <mergeCell ref="G321:G325"/>
    <mergeCell ref="H321:H322"/>
    <mergeCell ref="I321:I322"/>
    <mergeCell ref="J321:J322"/>
    <mergeCell ref="K321:K322"/>
    <mergeCell ref="O321:O326"/>
    <mergeCell ref="P321:P326"/>
    <mergeCell ref="Q321:Q326"/>
    <mergeCell ref="R321:R326"/>
    <mergeCell ref="I323:I326"/>
    <mergeCell ref="J323:J326"/>
    <mergeCell ref="K323:K326"/>
    <mergeCell ref="H324:H325"/>
    <mergeCell ref="A328:A330"/>
    <mergeCell ref="B328:B330"/>
    <mergeCell ref="C328:C330"/>
    <mergeCell ref="D328:D330"/>
    <mergeCell ref="E328:E330"/>
    <mergeCell ref="F328:F330"/>
    <mergeCell ref="G328:G330"/>
    <mergeCell ref="I328:I330"/>
    <mergeCell ref="J328:J330"/>
    <mergeCell ref="K328:K330"/>
    <mergeCell ref="L328:L330"/>
    <mergeCell ref="M328:M330"/>
    <mergeCell ref="N328:N330"/>
    <mergeCell ref="O328:O330"/>
    <mergeCell ref="P328:P330"/>
    <mergeCell ref="Q328:Q330"/>
    <mergeCell ref="R328:R330"/>
    <mergeCell ref="A331:A332"/>
    <mergeCell ref="B331:B332"/>
    <mergeCell ref="C331:C332"/>
    <mergeCell ref="D331:D332"/>
    <mergeCell ref="E331:E332"/>
    <mergeCell ref="F331:F332"/>
    <mergeCell ref="G331:G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A334:A335"/>
    <mergeCell ref="B334:B335"/>
    <mergeCell ref="C334:C335"/>
    <mergeCell ref="D334:D335"/>
    <mergeCell ref="E334:E335"/>
    <mergeCell ref="F334:F335"/>
    <mergeCell ref="G334:G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Q334:Q335"/>
    <mergeCell ref="R334:R335"/>
    <mergeCell ref="A336:A339"/>
    <mergeCell ref="B336:B339"/>
    <mergeCell ref="C336:C339"/>
    <mergeCell ref="D336:D339"/>
    <mergeCell ref="E336:E339"/>
    <mergeCell ref="F336:F339"/>
    <mergeCell ref="G336:G339"/>
    <mergeCell ref="I336:I339"/>
    <mergeCell ref="J336:J339"/>
    <mergeCell ref="K336:K339"/>
    <mergeCell ref="L336:L339"/>
    <mergeCell ref="M336:M339"/>
    <mergeCell ref="N336:N339"/>
    <mergeCell ref="O336:O339"/>
    <mergeCell ref="P336:P339"/>
    <mergeCell ref="Q336:Q339"/>
    <mergeCell ref="R336:R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M340:M341"/>
    <mergeCell ref="N340:N341"/>
    <mergeCell ref="Q340:Q341"/>
    <mergeCell ref="R340:R341"/>
    <mergeCell ref="A345:A346"/>
    <mergeCell ref="B345:B346"/>
    <mergeCell ref="D345:D346"/>
    <mergeCell ref="E345:E346"/>
    <mergeCell ref="G345:G346"/>
    <mergeCell ref="H345:H346"/>
    <mergeCell ref="I345:I346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M347:N347"/>
    <mergeCell ref="A348:A349"/>
    <mergeCell ref="B348:B349"/>
    <mergeCell ref="C348:C349"/>
    <mergeCell ref="D348:D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A350:A352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J350:J352"/>
    <mergeCell ref="K350:K352"/>
    <mergeCell ref="O350:O352"/>
    <mergeCell ref="P350:P352"/>
    <mergeCell ref="Q350:Q352"/>
    <mergeCell ref="R350:R352"/>
    <mergeCell ref="A354:A357"/>
    <mergeCell ref="B354:B357"/>
    <mergeCell ref="C354:C357"/>
    <mergeCell ref="D354:D357"/>
    <mergeCell ref="E354:E357"/>
    <mergeCell ref="F354:F357"/>
    <mergeCell ref="G354:G357"/>
    <mergeCell ref="I354:I357"/>
    <mergeCell ref="J354:J357"/>
    <mergeCell ref="K354:K357"/>
    <mergeCell ref="L354:L357"/>
    <mergeCell ref="M354:M357"/>
    <mergeCell ref="N354:N357"/>
    <mergeCell ref="O354:O357"/>
    <mergeCell ref="P354:P357"/>
    <mergeCell ref="Q354:Q357"/>
    <mergeCell ref="R354:R357"/>
    <mergeCell ref="A358:A361"/>
    <mergeCell ref="B358:B361"/>
    <mergeCell ref="C358:C361"/>
    <mergeCell ref="D358:D361"/>
    <mergeCell ref="E358:E361"/>
    <mergeCell ref="F358:F361"/>
    <mergeCell ref="G358:G361"/>
    <mergeCell ref="H358:H361"/>
    <mergeCell ref="I358:I361"/>
    <mergeCell ref="J358:J361"/>
    <mergeCell ref="K358:K361"/>
    <mergeCell ref="O358:O361"/>
    <mergeCell ref="P358:P361"/>
    <mergeCell ref="Q358:Q361"/>
    <mergeCell ref="R358:R361"/>
    <mergeCell ref="A364:A365"/>
    <mergeCell ref="B364:B365"/>
    <mergeCell ref="C364:C365"/>
    <mergeCell ref="D364:D365"/>
    <mergeCell ref="E364:E365"/>
    <mergeCell ref="F364:F365"/>
    <mergeCell ref="G364:G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A369:A372"/>
    <mergeCell ref="B369:B372"/>
    <mergeCell ref="D369:D372"/>
    <mergeCell ref="E369:E372"/>
    <mergeCell ref="F369:F372"/>
    <mergeCell ref="G369:G372"/>
    <mergeCell ref="H369:H372"/>
    <mergeCell ref="I369:I372"/>
    <mergeCell ref="J369:J372"/>
    <mergeCell ref="K369:K372"/>
    <mergeCell ref="O369:O372"/>
    <mergeCell ref="P369:P372"/>
    <mergeCell ref="Q369:Q372"/>
    <mergeCell ref="R369:R372"/>
    <mergeCell ref="C370:C372"/>
    <mergeCell ref="M370:N370"/>
    <mergeCell ref="A374:A377"/>
    <mergeCell ref="B374:B377"/>
    <mergeCell ref="C374:C377"/>
    <mergeCell ref="D374:D377"/>
    <mergeCell ref="E374:E377"/>
    <mergeCell ref="F374:F377"/>
    <mergeCell ref="G374:G377"/>
    <mergeCell ref="I374:I377"/>
    <mergeCell ref="J374:J377"/>
    <mergeCell ref="K374:K377"/>
    <mergeCell ref="L374:L377"/>
    <mergeCell ref="M374:M377"/>
    <mergeCell ref="N374:N377"/>
    <mergeCell ref="O374:O377"/>
    <mergeCell ref="P374:P377"/>
    <mergeCell ref="Q374:Q377"/>
    <mergeCell ref="R374:R377"/>
    <mergeCell ref="A380:A383"/>
    <mergeCell ref="B380:B383"/>
    <mergeCell ref="C380:C383"/>
    <mergeCell ref="D380:D383"/>
    <mergeCell ref="E380:E383"/>
    <mergeCell ref="F380:F383"/>
    <mergeCell ref="G380:G383"/>
    <mergeCell ref="H380:H383"/>
    <mergeCell ref="I380:I381"/>
    <mergeCell ref="J380:J381"/>
    <mergeCell ref="K380:K381"/>
    <mergeCell ref="M380:N380"/>
    <mergeCell ref="O380:O383"/>
    <mergeCell ref="P380:P383"/>
    <mergeCell ref="Q380:Q383"/>
    <mergeCell ref="R380:R383"/>
    <mergeCell ref="M381:N381"/>
    <mergeCell ref="I382:I383"/>
    <mergeCell ref="J382:J383"/>
    <mergeCell ref="K382:K383"/>
    <mergeCell ref="M382:N382"/>
    <mergeCell ref="M383:N383"/>
    <mergeCell ref="A386:A389"/>
    <mergeCell ref="B386:B389"/>
    <mergeCell ref="C386:C389"/>
    <mergeCell ref="D386:D389"/>
    <mergeCell ref="E386:E389"/>
    <mergeCell ref="F386:F389"/>
    <mergeCell ref="G386:G389"/>
    <mergeCell ref="H386:H389"/>
    <mergeCell ref="I386:I389"/>
    <mergeCell ref="J386:J389"/>
    <mergeCell ref="K386:K387"/>
    <mergeCell ref="M386:M387"/>
    <mergeCell ref="N386:N387"/>
    <mergeCell ref="O386:O389"/>
    <mergeCell ref="P386:P389"/>
    <mergeCell ref="Q386:Q389"/>
    <mergeCell ref="R386:R389"/>
    <mergeCell ref="K388:K389"/>
    <mergeCell ref="M388:M389"/>
    <mergeCell ref="N388:N389"/>
    <mergeCell ref="A390:A393"/>
    <mergeCell ref="B390:B393"/>
    <mergeCell ref="C390:C393"/>
    <mergeCell ref="F390:F393"/>
    <mergeCell ref="G390:G393"/>
    <mergeCell ref="I390:I393"/>
    <mergeCell ref="J390:J393"/>
    <mergeCell ref="K390:K393"/>
    <mergeCell ref="L390:L393"/>
    <mergeCell ref="M390:M393"/>
    <mergeCell ref="N390:N393"/>
    <mergeCell ref="O390:O393"/>
    <mergeCell ref="P390:P393"/>
    <mergeCell ref="Q390:Q393"/>
    <mergeCell ref="R390:R393"/>
    <mergeCell ref="A394:A395"/>
    <mergeCell ref="B394:B397"/>
    <mergeCell ref="C394:C395"/>
    <mergeCell ref="D394:D397"/>
    <mergeCell ref="E394:E395"/>
    <mergeCell ref="F394:F397"/>
    <mergeCell ref="G394:G395"/>
    <mergeCell ref="H394:H395"/>
    <mergeCell ref="I394:I395"/>
    <mergeCell ref="K394:K395"/>
    <mergeCell ref="L394:L397"/>
    <mergeCell ref="M394:M397"/>
    <mergeCell ref="N394:N397"/>
    <mergeCell ref="O394:O397"/>
    <mergeCell ref="P394:P397"/>
    <mergeCell ref="Q394:Q397"/>
    <mergeCell ref="R394:R397"/>
    <mergeCell ref="A400:A403"/>
    <mergeCell ref="B400:B403"/>
    <mergeCell ref="C400:C403"/>
    <mergeCell ref="D400:D403"/>
    <mergeCell ref="E400:E403"/>
    <mergeCell ref="F400:F403"/>
    <mergeCell ref="G400:G403"/>
    <mergeCell ref="I400:I403"/>
    <mergeCell ref="J400:J403"/>
    <mergeCell ref="K400:K403"/>
    <mergeCell ref="L400:L403"/>
    <mergeCell ref="M400:M403"/>
    <mergeCell ref="N400:N403"/>
    <mergeCell ref="O400:O403"/>
    <mergeCell ref="P400:P403"/>
    <mergeCell ref="Q400:Q403"/>
    <mergeCell ref="R400:R403"/>
    <mergeCell ref="A404:A406"/>
    <mergeCell ref="B404:B406"/>
    <mergeCell ref="C404:C406"/>
    <mergeCell ref="D404:D406"/>
    <mergeCell ref="E404:E406"/>
    <mergeCell ref="F404:F406"/>
    <mergeCell ref="G404:G406"/>
    <mergeCell ref="I404:I406"/>
    <mergeCell ref="J404:J406"/>
    <mergeCell ref="K404:K406"/>
    <mergeCell ref="L404:L406"/>
    <mergeCell ref="M404:M406"/>
    <mergeCell ref="N404:N406"/>
    <mergeCell ref="O404:O406"/>
    <mergeCell ref="P404:P406"/>
    <mergeCell ref="Q404:Q406"/>
    <mergeCell ref="R404:R406"/>
    <mergeCell ref="A408:A410"/>
    <mergeCell ref="B408:B410"/>
    <mergeCell ref="C408:C410"/>
    <mergeCell ref="D408:D410"/>
    <mergeCell ref="E408:E410"/>
    <mergeCell ref="F408:F410"/>
    <mergeCell ref="G408:G410"/>
    <mergeCell ref="I408:I410"/>
    <mergeCell ref="J408:J410"/>
    <mergeCell ref="K408:K410"/>
    <mergeCell ref="L408:L410"/>
    <mergeCell ref="M408:M410"/>
    <mergeCell ref="N408:N410"/>
    <mergeCell ref="O408:O410"/>
    <mergeCell ref="P408:P410"/>
    <mergeCell ref="Q408:Q410"/>
    <mergeCell ref="R408:R410"/>
    <mergeCell ref="M411:N411"/>
    <mergeCell ref="A417:A418"/>
    <mergeCell ref="B417:B419"/>
    <mergeCell ref="C417:C418"/>
    <mergeCell ref="D417:D419"/>
    <mergeCell ref="E417:E418"/>
    <mergeCell ref="F417:F419"/>
    <mergeCell ref="G417:G419"/>
    <mergeCell ref="H417:H418"/>
    <mergeCell ref="I417:I418"/>
    <mergeCell ref="K417:K418"/>
    <mergeCell ref="L417:L419"/>
    <mergeCell ref="M417:M419"/>
    <mergeCell ref="N417:N419"/>
    <mergeCell ref="O417:O419"/>
    <mergeCell ref="P417:P419"/>
    <mergeCell ref="Q417:Q419"/>
    <mergeCell ref="R417:R419"/>
    <mergeCell ref="A420:A421"/>
    <mergeCell ref="B420:B421"/>
    <mergeCell ref="C420:C421"/>
    <mergeCell ref="D420:D421"/>
    <mergeCell ref="E420:E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A422:A424"/>
    <mergeCell ref="B422:B424"/>
    <mergeCell ref="C422:C424"/>
    <mergeCell ref="D422:D424"/>
    <mergeCell ref="E422:E424"/>
    <mergeCell ref="F422:F424"/>
    <mergeCell ref="G422:G424"/>
    <mergeCell ref="I422:I424"/>
    <mergeCell ref="J422:J424"/>
    <mergeCell ref="K422:K424"/>
    <mergeCell ref="L422:L424"/>
    <mergeCell ref="M422:M424"/>
    <mergeCell ref="N422:N424"/>
    <mergeCell ref="O422:O424"/>
    <mergeCell ref="P422:P424"/>
    <mergeCell ref="Q422:Q424"/>
    <mergeCell ref="R422:R424"/>
    <mergeCell ref="A425:A430"/>
    <mergeCell ref="B425:B430"/>
    <mergeCell ref="C425:C430"/>
    <mergeCell ref="D425:D430"/>
    <mergeCell ref="E425:E430"/>
    <mergeCell ref="F425:F430"/>
    <mergeCell ref="G425:G430"/>
    <mergeCell ref="H425:H430"/>
    <mergeCell ref="I425:I426"/>
    <mergeCell ref="J425:J426"/>
    <mergeCell ref="K425:K426"/>
    <mergeCell ref="L425:L426"/>
    <mergeCell ref="M425:N425"/>
    <mergeCell ref="O425:O430"/>
    <mergeCell ref="P425:P430"/>
    <mergeCell ref="Q425:Q430"/>
    <mergeCell ref="R425:R430"/>
    <mergeCell ref="M426:N426"/>
    <mergeCell ref="I427:I430"/>
    <mergeCell ref="J427:J430"/>
    <mergeCell ref="K427:K430"/>
    <mergeCell ref="M427:N427"/>
    <mergeCell ref="M428:N428"/>
    <mergeCell ref="M429:N429"/>
    <mergeCell ref="M430:N430"/>
    <mergeCell ref="A431:A435"/>
    <mergeCell ref="B431:B435"/>
    <mergeCell ref="C431:C435"/>
    <mergeCell ref="D431:D435"/>
    <mergeCell ref="F431:F435"/>
    <mergeCell ref="G431:G433"/>
    <mergeCell ref="I431:I435"/>
    <mergeCell ref="J431:J435"/>
    <mergeCell ref="K431:K435"/>
    <mergeCell ref="L431:L433"/>
    <mergeCell ref="M431:M433"/>
    <mergeCell ref="N431:N433"/>
    <mergeCell ref="O431:O435"/>
    <mergeCell ref="P431:P435"/>
    <mergeCell ref="Q431:Q435"/>
    <mergeCell ref="R431:R435"/>
    <mergeCell ref="A438:A440"/>
    <mergeCell ref="B438:B440"/>
    <mergeCell ref="C438:C439"/>
    <mergeCell ref="D438:D440"/>
    <mergeCell ref="E438:E440"/>
    <mergeCell ref="F438:F440"/>
    <mergeCell ref="H438:H440"/>
    <mergeCell ref="I438:I440"/>
    <mergeCell ref="J438:J440"/>
    <mergeCell ref="K438:K440"/>
    <mergeCell ref="L438:L440"/>
    <mergeCell ref="M438:M440"/>
    <mergeCell ref="N438:N440"/>
    <mergeCell ref="O438:O440"/>
    <mergeCell ref="P438:P440"/>
    <mergeCell ref="Q438:Q440"/>
    <mergeCell ref="R438:R440"/>
    <mergeCell ref="A449:A452"/>
    <mergeCell ref="B449:B452"/>
    <mergeCell ref="C449:C450"/>
    <mergeCell ref="F449:F452"/>
    <mergeCell ref="G449:G452"/>
    <mergeCell ref="H449:H452"/>
    <mergeCell ref="O449:O452"/>
    <mergeCell ref="P449:P452"/>
    <mergeCell ref="Q449:Q452"/>
    <mergeCell ref="R449:R452"/>
    <mergeCell ref="C451:C452"/>
    <mergeCell ref="D451:D452"/>
    <mergeCell ref="E451:E452"/>
    <mergeCell ref="I451:I452"/>
    <mergeCell ref="J451:J452"/>
    <mergeCell ref="K451:K452"/>
    <mergeCell ref="M451:M452"/>
    <mergeCell ref="N451:N452"/>
    <mergeCell ref="A453:A454"/>
    <mergeCell ref="B453:B454"/>
    <mergeCell ref="D453:D454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A455:A456"/>
    <mergeCell ref="B455:B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L455:L456"/>
    <mergeCell ref="M455:M456"/>
    <mergeCell ref="N455:N456"/>
    <mergeCell ref="O455:O456"/>
    <mergeCell ref="P455:P456"/>
    <mergeCell ref="Q455:Q456"/>
    <mergeCell ref="R455:R456"/>
    <mergeCell ref="A457:A460"/>
    <mergeCell ref="B457:B460"/>
    <mergeCell ref="C457:C460"/>
    <mergeCell ref="D457:D460"/>
    <mergeCell ref="E457:E460"/>
    <mergeCell ref="F457:F460"/>
    <mergeCell ref="G457:G460"/>
    <mergeCell ref="H457:H460"/>
    <mergeCell ref="L457:N457"/>
    <mergeCell ref="O457:O460"/>
    <mergeCell ref="P457:P460"/>
    <mergeCell ref="Q457:Q460"/>
    <mergeCell ref="R457:R460"/>
    <mergeCell ref="I458:K458"/>
    <mergeCell ref="L458:N458"/>
    <mergeCell ref="I459:K460"/>
    <mergeCell ref="L459:N459"/>
    <mergeCell ref="L460:N460"/>
    <mergeCell ref="A461:A462"/>
    <mergeCell ref="B461:B462"/>
    <mergeCell ref="D461:D462"/>
    <mergeCell ref="E461:E462"/>
    <mergeCell ref="G461:G462"/>
    <mergeCell ref="H461:H462"/>
    <mergeCell ref="I461:I462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L467:L468"/>
    <mergeCell ref="M467:M468"/>
    <mergeCell ref="N467:N468"/>
    <mergeCell ref="O467:O468"/>
    <mergeCell ref="P467:P468"/>
    <mergeCell ref="Q467:Q468"/>
    <mergeCell ref="R467:R468"/>
    <mergeCell ref="A470:A472"/>
    <mergeCell ref="B470:B472"/>
    <mergeCell ref="D470:D472"/>
    <mergeCell ref="E470:E472"/>
    <mergeCell ref="F470:F472"/>
    <mergeCell ref="G470:G472"/>
    <mergeCell ref="H470:H472"/>
    <mergeCell ref="I470:I472"/>
    <mergeCell ref="J470:J472"/>
    <mergeCell ref="K470:K472"/>
    <mergeCell ref="L470:L472"/>
    <mergeCell ref="M470:M471"/>
    <mergeCell ref="N470:N472"/>
    <mergeCell ref="O470:O472"/>
    <mergeCell ref="P470:P472"/>
    <mergeCell ref="Q470:Q472"/>
    <mergeCell ref="R470:R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L473:L474"/>
    <mergeCell ref="M473:M474"/>
    <mergeCell ref="N473:N474"/>
    <mergeCell ref="O473:O474"/>
    <mergeCell ref="P473:P474"/>
    <mergeCell ref="Q473:Q474"/>
    <mergeCell ref="R473:R474"/>
  </mergeCells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BL5"/>
  <sheetViews>
    <sheetView zoomScale="95" zoomScaleNormal="95" workbookViewId="0" topLeftCell="A1">
      <selection activeCell="B18" sqref="B18"/>
    </sheetView>
  </sheetViews>
  <sheetFormatPr defaultColWidth="11.421875" defaultRowHeight="15" customHeight="1"/>
  <cols>
    <col min="1" max="1" width="19.421875" style="415" customWidth="1"/>
    <col min="2" max="2" width="35.421875" style="415" customWidth="1"/>
    <col min="3" max="3" width="23.421875" style="415" customWidth="1"/>
    <col min="4" max="64" width="10.421875" style="416" customWidth="1"/>
  </cols>
  <sheetData>
    <row r="3" spans="1:64" ht="15" customHeight="1">
      <c r="A3" s="417" t="s">
        <v>1608</v>
      </c>
      <c r="B3" s="417" t="s">
        <v>1609</v>
      </c>
      <c r="C3" s="417" t="s">
        <v>1610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</row>
    <row r="4" spans="1:64" ht="15" customHeight="1">
      <c r="A4" s="417" t="s">
        <v>1611</v>
      </c>
      <c r="B4" s="417" t="s">
        <v>1612</v>
      </c>
      <c r="C4" s="417" t="s">
        <v>1613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</row>
    <row r="5" spans="1:3" ht="15" customHeight="1">
      <c r="A5" s="419" t="s">
        <v>1614</v>
      </c>
      <c r="B5" s="419" t="s">
        <v>1615</v>
      </c>
      <c r="C5" s="419" t="s">
        <v>1616</v>
      </c>
    </row>
  </sheetData>
  <sheetProtection selectLockedCells="1" selectUnlockedCells="1"/>
  <hyperlinks>
    <hyperlink ref="A5" r:id="rId1" display="Events &amp; Expositions"/>
    <hyperlink ref="B5" r:id="rId2" display="Upcoming Events"/>
    <hyperlink ref="C5" r:id="rId3" display="List of upcoming events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Levin</cp:lastModifiedBy>
  <dcterms:modified xsi:type="dcterms:W3CDTF">2019-12-23T00:42:36Z</dcterms:modified>
  <cp:category/>
  <cp:version/>
  <cp:contentType/>
  <cp:contentStatus/>
  <cp:revision>4760</cp:revision>
</cp:coreProperties>
</file>